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4980" windowHeight="3375" activeTab="0"/>
  </bookViews>
  <sheets>
    <sheet name="AutoLoanCalculator" sheetId="1" r:id="rId1"/>
    <sheet name="PaymentCalculator" sheetId="2" r:id="rId2"/>
    <sheet name="LoanComparisons" sheetId="3" r:id="rId3"/>
  </sheets>
  <definedNames>
    <definedName name="chart_balance">OFFSET('PaymentCalculator'!$G$19,2,0,'PaymentCalculator'!$G$8,1)</definedName>
    <definedName name="chart_balance_noextra">FV(rate,chart_nper,payment,-loan_amount)</definedName>
    <definedName name="chart_date">OFFSET('PaymentCalculator'!$B$19,2,0,'PaymentCalculator'!$G$8,1)</definedName>
    <definedName name="chart_nper">ROW(OFFSET('PaymentCalculator'!$A$1,0,0,nper,1))</definedName>
    <definedName name="fpdate">'PaymentCalculator'!$D$8</definedName>
    <definedName name="frequency">{"Annually";"Semi-Annually";"Quarterly";"Bi-Monthly";"Monthly";"Semi-Monthly";"Bi-Weekly"}</definedName>
    <definedName name="loan_amount">'PaymentCalculator'!$D$5</definedName>
    <definedName name="months_per_period">INDEX({12,6,3,2,1,0.5,0.5},MATCH('PaymentCalculator'!$D$9,frequency,0))</definedName>
    <definedName name="nper">term*periods_per_year</definedName>
    <definedName name="payment">'PaymentCalculator'!$D$14</definedName>
    <definedName name="periods_per_year">INDEX({1,2,4,6,12,24,26},MATCH('PaymentCalculator'!$D$9,frequency,0))</definedName>
    <definedName name="_xlnm.Print_Area" localSheetId="0">'AutoLoanCalculator'!$A$1:$F$39</definedName>
    <definedName name="_xlnm.Print_Area" localSheetId="1">'PaymentCalculator'!$A$1:$H$56</definedName>
    <definedName name="rate">'PaymentCalculator'!$D$13</definedName>
    <definedName name="term">'PaymentCalculator'!$D$7</definedName>
  </definedNames>
  <calcPr fullCalcOnLoad="1"/>
</workbook>
</file>

<file path=xl/comments1.xml><?xml version="1.0" encoding="utf-8"?>
<comments xmlns="http://schemas.openxmlformats.org/spreadsheetml/2006/main">
  <authors>
    <author>Jon</author>
  </authors>
  <commentList>
    <comment ref="E1" authorId="0">
      <text>
        <r>
          <rPr>
            <b/>
            <u val="single"/>
            <sz val="8"/>
            <rFont val="Tahoma"/>
            <family val="2"/>
          </rPr>
          <t xml:space="preserve">Limited Use Policy
</t>
        </r>
        <r>
          <rPr>
            <sz val="8"/>
            <rFont val="Tahoma"/>
            <family val="2"/>
          </rPr>
          <t xml:space="preserve">The spreadsheet is for your personal use only. You may customize it to suit your needs, but it may not be sold, distributed, or placed on a public server (i.e. the internet).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F1" authorId="0">
      <text>
        <r>
          <rPr>
            <b/>
            <sz val="8"/>
            <rFont val="Tahoma"/>
            <family val="0"/>
          </rPr>
          <t>Revision History:</t>
        </r>
        <r>
          <rPr>
            <sz val="8"/>
            <rFont val="Tahoma"/>
            <family val="0"/>
          </rPr>
          <t xml:space="preserve">
1.0: Original version</t>
        </r>
      </text>
    </comment>
    <comment ref="C5" authorId="0">
      <text>
        <r>
          <rPr>
            <b/>
            <sz val="8"/>
            <rFont val="Tahoma"/>
            <family val="2"/>
          </rPr>
          <t>Sale Price</t>
        </r>
        <r>
          <rPr>
            <sz val="8"/>
            <rFont val="Tahoma"/>
            <family val="0"/>
          </rPr>
          <t xml:space="preserve">
Include the sale price of the new car plus any additional options. Do not include the sales tax.</t>
        </r>
      </text>
    </comment>
    <comment ref="C27" authorId="0">
      <text>
        <r>
          <rPr>
            <b/>
            <sz val="8"/>
            <rFont val="Tahoma"/>
            <family val="2"/>
          </rPr>
          <t>Non-Taxable Fees</t>
        </r>
        <r>
          <rPr>
            <sz val="8"/>
            <rFont val="Tahoma"/>
            <family val="0"/>
          </rPr>
          <t xml:space="preserve">
Fees that are NOT subject to sales tax, such as document fees or fees due at delivery.</t>
        </r>
      </text>
    </comment>
    <comment ref="C8" authorId="0">
      <text>
        <r>
          <rPr>
            <b/>
            <sz val="8"/>
            <rFont val="Tahoma"/>
            <family val="0"/>
          </rPr>
          <t>Taxable Fees:</t>
        </r>
        <r>
          <rPr>
            <sz val="8"/>
            <rFont val="Tahoma"/>
            <family val="0"/>
          </rPr>
          <t xml:space="preserve">
Fees that are subject to State Sales Tax, such as </t>
        </r>
        <r>
          <rPr>
            <sz val="8"/>
            <rFont val="Tahoma"/>
            <family val="2"/>
          </rPr>
          <t>fees that are due at delivery.</t>
        </r>
      </text>
    </comment>
    <comment ref="C7" authorId="0">
      <text>
        <r>
          <rPr>
            <b/>
            <sz val="8"/>
            <rFont val="Tahoma"/>
            <family val="0"/>
          </rPr>
          <t>Title Transfer Fee:</t>
        </r>
        <r>
          <rPr>
            <sz val="8"/>
            <rFont val="Tahoma"/>
            <family val="0"/>
          </rPr>
          <t xml:space="preserve">
The title transfer fee is payable by the new owner to the state's DMV. This fee is usually taxable.</t>
        </r>
      </text>
    </comment>
    <comment ref="C12" authorId="0">
      <text>
        <r>
          <rPr>
            <b/>
            <sz val="8"/>
            <rFont val="Tahoma"/>
            <family val="0"/>
          </rPr>
          <t>Check Your State:</t>
        </r>
        <r>
          <rPr>
            <sz val="8"/>
            <rFont val="Tahoma"/>
            <family val="0"/>
          </rPr>
          <t xml:space="preserve">
In some states, the value of the trade-in is not tax deductible. If you choose TRUE, then the trade-in value is subtracted from the sale price BEFORE calculating the taxes.
At the time of creation of this calculator, the following states DO NOT allow the trade-in value to be deducted:
California, District of Columbia, Hawaii, Maryland, Michigan</t>
        </r>
      </text>
    </comment>
    <comment ref="C6" authorId="0">
      <text>
        <r>
          <rPr>
            <b/>
            <sz val="8"/>
            <rFont val="Tahoma"/>
            <family val="0"/>
          </rPr>
          <t>Destination Charge:</t>
        </r>
        <r>
          <rPr>
            <sz val="8"/>
            <rFont val="Tahoma"/>
            <family val="0"/>
          </rPr>
          <t xml:space="preserve">
The cost that the automaker charges to deliver the auto to the dealer. This amount is usually a fixed charge and is not negotiable. It varies depending on the car.</t>
        </r>
      </text>
    </comment>
    <comment ref="C36" authorId="0">
      <text>
        <r>
          <rPr>
            <b/>
            <sz val="8"/>
            <rFont val="Tahoma"/>
            <family val="2"/>
          </rPr>
          <t>Manufacturere's Cash Rebate</t>
        </r>
        <r>
          <rPr>
            <sz val="8"/>
            <rFont val="Tahoma"/>
            <family val="0"/>
          </rPr>
          <t>:
Sometimes, the manufacturer will provide a cash rebate or low-interest financing. In some states, the cash rebate can be deducted from the purchase price before calculating the sales tax.</t>
        </r>
      </text>
    </comment>
    <comment ref="C13" authorId="0">
      <text>
        <r>
          <rPr>
            <b/>
            <sz val="8"/>
            <rFont val="Tahoma"/>
            <family val="0"/>
          </rPr>
          <t>Check Your State:</t>
        </r>
        <r>
          <rPr>
            <sz val="8"/>
            <rFont val="Tahoma"/>
            <family val="0"/>
          </rPr>
          <t xml:space="preserve">
In some states, the manufacturer's Cash Rebate can be substracted from the sale price before the sales tax is calculated.</t>
        </r>
      </text>
    </comment>
    <comment ref="C35" authorId="0">
      <text>
        <r>
          <rPr>
            <b/>
            <sz val="8"/>
            <rFont val="Tahoma"/>
            <family val="0"/>
          </rPr>
          <t>Trade-In:</t>
        </r>
        <r>
          <rPr>
            <sz val="8"/>
            <rFont val="Tahoma"/>
            <family val="0"/>
          </rPr>
          <t xml:space="preserve">
If you are trading in an older car, enter the value accepted by the dealer here. In some states, the trade-in value can be deducted from the purchase price prior to calculating the sales tax.</t>
        </r>
      </text>
    </comment>
    <comment ref="C32" authorId="0">
      <text>
        <r>
          <rPr>
            <b/>
            <sz val="8"/>
            <rFont val="Tahoma"/>
            <family val="0"/>
          </rPr>
          <t>Unpaid Balance on Previous Loan:</t>
        </r>
        <r>
          <rPr>
            <sz val="8"/>
            <rFont val="Tahoma"/>
            <family val="0"/>
          </rPr>
          <t xml:space="preserve">
If you have an unpaid balance on a loan for a car that you are trading in, enter the unpaid loan balance here.</t>
        </r>
      </text>
    </comment>
    <comment ref="C25" authorId="0">
      <text>
        <r>
          <rPr>
            <b/>
            <sz val="8"/>
            <rFont val="Tahoma"/>
            <family val="0"/>
          </rPr>
          <t>Late Title Transfer Fee:</t>
        </r>
        <r>
          <rPr>
            <sz val="8"/>
            <rFont val="Tahoma"/>
            <family val="0"/>
          </rPr>
          <t xml:space="preserve">
In many states, you have a limited amount of time (often 30 days) to transfer the title of the new car. If you don't meet the deadline, you end up paying late fees. Don't be late! The fees can add up quickly.
e.g. $25 to $200</t>
        </r>
      </text>
    </comment>
    <comment ref="C19" authorId="0">
      <text>
        <r>
          <rPr>
            <b/>
            <sz val="8"/>
            <rFont val="Tahoma"/>
            <family val="0"/>
          </rPr>
          <t>Registration Fee:</t>
        </r>
        <r>
          <rPr>
            <sz val="8"/>
            <rFont val="Tahoma"/>
            <family val="0"/>
          </rPr>
          <t xml:space="preserve">
The registration fee usually varies depending on the vehicle type, fuel type, county, and other factors. Call your DMV to find out the registration cost.</t>
        </r>
      </text>
    </comment>
    <comment ref="C20" authorId="0">
      <text>
        <r>
          <rPr>
            <b/>
            <sz val="8"/>
            <rFont val="Tahoma"/>
            <family val="0"/>
          </rPr>
          <t>Late Registration:</t>
        </r>
        <r>
          <rPr>
            <sz val="8"/>
            <rFont val="Tahoma"/>
            <family val="0"/>
          </rPr>
          <t xml:space="preserve">
Many states due not have a grace period after registration has expired, so make sue you get the titled transferred and the registration fee paid right away.</t>
        </r>
      </text>
    </comment>
    <comment ref="C21" authorId="0">
      <text>
        <r>
          <rPr>
            <b/>
            <sz val="8"/>
            <rFont val="Tahoma"/>
            <family val="0"/>
          </rPr>
          <t>Service Contract:</t>
        </r>
        <r>
          <rPr>
            <sz val="8"/>
            <rFont val="Tahoma"/>
            <family val="0"/>
          </rPr>
          <t xml:space="preserve">
Very likely, the dealer will try to get you to purchase a service contract. This can be a very significant cost, so don't neglect considering it in your calculation.</t>
        </r>
      </text>
    </comment>
    <comment ref="C34" authorId="0">
      <text>
        <r>
          <rPr>
            <b/>
            <sz val="8"/>
            <rFont val="Tahoma"/>
            <family val="0"/>
          </rPr>
          <t>Down Payment:</t>
        </r>
        <r>
          <rPr>
            <sz val="8"/>
            <rFont val="Tahoma"/>
            <family val="0"/>
          </rPr>
          <t xml:space="preserve">
The amount you pay in cash (or by check). </t>
        </r>
      </text>
    </comment>
  </commentList>
</comments>
</file>

<file path=xl/comments2.xml><?xml version="1.0" encoding="utf-8"?>
<comments xmlns="http://schemas.openxmlformats.org/spreadsheetml/2006/main">
  <authors>
    <author>Maria</author>
    <author>Jon</author>
  </authors>
  <commentList>
    <comment ref="C8" authorId="0">
      <text>
        <r>
          <rPr>
            <b/>
            <sz val="8"/>
            <rFont val="Tahoma"/>
            <family val="2"/>
          </rPr>
          <t>First Payment Date</t>
        </r>
        <r>
          <rPr>
            <sz val="8"/>
            <rFont val="Tahoma"/>
            <family val="0"/>
          </rPr>
          <t xml:space="preserve">
</t>
        </r>
        <r>
          <rPr>
            <sz val="8"/>
            <rFont val="Tahoma"/>
            <family val="2"/>
          </rPr>
          <t xml:space="preserve">Assumes that the first payment date is at the </t>
        </r>
        <r>
          <rPr>
            <b/>
            <sz val="8"/>
            <rFont val="Tahoma"/>
            <family val="2"/>
          </rPr>
          <t xml:space="preserve">end </t>
        </r>
        <r>
          <rPr>
            <sz val="8"/>
            <rFont val="Tahoma"/>
            <family val="2"/>
          </rPr>
          <t xml:space="preserve">of the first period.
</t>
        </r>
        <r>
          <rPr>
            <i/>
            <sz val="8"/>
            <rFont val="Tahoma"/>
            <family val="2"/>
          </rPr>
          <t>Shortcut</t>
        </r>
        <r>
          <rPr>
            <sz val="8"/>
            <rFont val="Tahoma"/>
            <family val="2"/>
          </rPr>
          <t xml:space="preserve">: To enter today's date, press </t>
        </r>
        <r>
          <rPr>
            <b/>
            <sz val="8"/>
            <rFont val="Tahoma"/>
            <family val="2"/>
          </rPr>
          <t>Ctrl+;</t>
        </r>
      </text>
    </comment>
    <comment ref="C7" authorId="0">
      <text>
        <r>
          <rPr>
            <b/>
            <sz val="8"/>
            <rFont val="Tahoma"/>
            <family val="2"/>
          </rPr>
          <t>Term of Loan</t>
        </r>
        <r>
          <rPr>
            <sz val="8"/>
            <rFont val="Tahoma"/>
            <family val="0"/>
          </rPr>
          <t xml:space="preserve">
Auto loans are usually between 1 and 6 years.
If you want to specify a specific number of months, enter the formula:  =</t>
        </r>
        <r>
          <rPr>
            <i/>
            <sz val="8"/>
            <rFont val="Tahoma"/>
            <family val="2"/>
          </rPr>
          <t>months</t>
        </r>
        <r>
          <rPr>
            <sz val="8"/>
            <rFont val="Tahoma"/>
            <family val="0"/>
          </rPr>
          <t>/12
For example:
For a 6-month loan, enter =6/12
For a 18-month loan, enter =18/12</t>
        </r>
      </text>
    </comment>
    <comment ref="D19" authorId="0">
      <text>
        <r>
          <rPr>
            <b/>
            <sz val="8"/>
            <rFont val="Tahoma"/>
            <family val="2"/>
          </rPr>
          <t>Additional Payment</t>
        </r>
        <r>
          <rPr>
            <sz val="8"/>
            <rFont val="Tahoma"/>
            <family val="0"/>
          </rPr>
          <t xml:space="preserve">
The amount paid directly towards the principal. In order to pay off the remaining balance, the additional payment must be the</t>
        </r>
        <r>
          <rPr>
            <b/>
            <sz val="8"/>
            <rFont val="Tahoma"/>
            <family val="2"/>
          </rPr>
          <t xml:space="preserve"> last period balance - payment due + interest due</t>
        </r>
        <r>
          <rPr>
            <sz val="8"/>
            <rFont val="Tahoma"/>
            <family val="0"/>
          </rPr>
          <t>. For example, to pay off after the first period, the additional payment would be: =G24-C25+E25
(Assumes no penalties for making additional payments.)</t>
        </r>
      </text>
    </comment>
    <comment ref="F7" authorId="0">
      <text>
        <r>
          <rPr>
            <b/>
            <sz val="8"/>
            <rFont val="Tahoma"/>
            <family val="2"/>
          </rPr>
          <t>Reduced Interest</t>
        </r>
        <r>
          <rPr>
            <sz val="8"/>
            <rFont val="Tahoma"/>
            <family val="0"/>
          </rPr>
          <t xml:space="preserve">
The reduced interest expense associated with making extra payments. The result may be off by a few cents due to rounding. When you make extra payments on the principal above your normal payment, then you pay less interest in the long run.</t>
        </r>
      </text>
    </comment>
    <comment ref="F1" authorId="1">
      <text>
        <r>
          <rPr>
            <b/>
            <u val="single"/>
            <sz val="8"/>
            <rFont val="Tahoma"/>
            <family val="2"/>
          </rPr>
          <t xml:space="preserve">Limited Use Policy
</t>
        </r>
        <r>
          <rPr>
            <sz val="8"/>
            <rFont val="Tahoma"/>
            <family val="2"/>
          </rPr>
          <t xml:space="preserve">The spreadsheet is for your personal use only. You may customize it to suit your needs, but it may not be sold, distributed, or placed on a public server (i.e. the internet).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G1" authorId="1">
      <text>
        <r>
          <rPr>
            <b/>
            <sz val="8"/>
            <rFont val="Tahoma"/>
            <family val="0"/>
          </rPr>
          <t>Revision History:</t>
        </r>
        <r>
          <rPr>
            <sz val="8"/>
            <rFont val="Tahoma"/>
            <family val="0"/>
          </rPr>
          <t xml:space="preserve">
1.0: Original version</t>
        </r>
      </text>
    </comment>
    <comment ref="C5" authorId="1">
      <text>
        <r>
          <rPr>
            <b/>
            <sz val="8"/>
            <rFont val="Tahoma"/>
            <family val="0"/>
          </rPr>
          <t>Loan Amount:</t>
        </r>
        <r>
          <rPr>
            <sz val="8"/>
            <rFont val="Tahoma"/>
            <family val="0"/>
          </rPr>
          <t xml:space="preserve">
This is the amount that you have borrowed.
It is NOT the price of the automobile. It is the amount financed, which often consists of the price of the auto + fees + sales tax - down payment.</t>
        </r>
      </text>
    </comment>
    <comment ref="C16" authorId="1">
      <text>
        <r>
          <rPr>
            <b/>
            <sz val="8"/>
            <rFont val="Tahoma"/>
            <family val="0"/>
          </rPr>
          <t>Total Payments:</t>
        </r>
        <r>
          <rPr>
            <sz val="8"/>
            <rFont val="Tahoma"/>
            <family val="0"/>
          </rPr>
          <t xml:space="preserve">
If you don't make any extra payments, this will be the total amount paid over the life of the loan (including interest). The amount may be off by a few cents due to rounding.</t>
        </r>
      </text>
    </comment>
    <comment ref="C15" authorId="1">
      <text>
        <r>
          <rPr>
            <b/>
            <sz val="8"/>
            <rFont val="Tahoma"/>
            <family val="0"/>
          </rPr>
          <t>Total Interest:</t>
        </r>
        <r>
          <rPr>
            <sz val="8"/>
            <rFont val="Tahoma"/>
            <family val="0"/>
          </rPr>
          <t xml:space="preserve">
If you don't make any extra payments, this will be the total amount of interest paid over the life of the loan.</t>
        </r>
      </text>
    </comment>
  </commentList>
</comments>
</file>

<file path=xl/comments3.xml><?xml version="1.0" encoding="utf-8"?>
<comments xmlns="http://schemas.openxmlformats.org/spreadsheetml/2006/main">
  <authors>
    <author>Jon</author>
  </authors>
  <commentList>
    <comment ref="G1" authorId="0">
      <text>
        <r>
          <rPr>
            <b/>
            <u val="single"/>
            <sz val="8"/>
            <rFont val="Tahoma"/>
            <family val="2"/>
          </rPr>
          <t xml:space="preserve">Limited Use Policy
</t>
        </r>
        <r>
          <rPr>
            <sz val="8"/>
            <rFont val="Tahoma"/>
            <family val="2"/>
          </rPr>
          <t xml:space="preserve">The spreadsheet is for your personal use only. You may customize it to suit your needs, but it may not be sold, distributed, or placed on a public server (i.e. the internet).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H1" authorId="0">
      <text>
        <r>
          <rPr>
            <b/>
            <sz val="8"/>
            <rFont val="Tahoma"/>
            <family val="0"/>
          </rPr>
          <t>Revision History:</t>
        </r>
        <r>
          <rPr>
            <sz val="8"/>
            <rFont val="Tahoma"/>
            <family val="0"/>
          </rPr>
          <t xml:space="preserve">
1.0: Original version</t>
        </r>
      </text>
    </comment>
  </commentList>
</comments>
</file>

<file path=xl/sharedStrings.xml><?xml version="1.0" encoding="utf-8"?>
<sst xmlns="http://schemas.openxmlformats.org/spreadsheetml/2006/main" count="109" uniqueCount="81">
  <si>
    <t>Inputs</t>
  </si>
  <si>
    <t>Annual Interest Rate</t>
  </si>
  <si>
    <t>Term of Loan in Years</t>
  </si>
  <si>
    <t>First Payment Date</t>
  </si>
  <si>
    <t>Frequency of Payment</t>
  </si>
  <si>
    <t>Rate (per period)</t>
  </si>
  <si>
    <t>Total Payments</t>
  </si>
  <si>
    <t>Total Interest</t>
  </si>
  <si>
    <t>No.</t>
  </si>
  <si>
    <t>Due Date</t>
  </si>
  <si>
    <t>Payment Due</t>
  </si>
  <si>
    <t>Additional Payment</t>
  </si>
  <si>
    <t>Interest</t>
  </si>
  <si>
    <t>Principal</t>
  </si>
  <si>
    <t>Balance</t>
  </si>
  <si>
    <t>Payment (per period)</t>
  </si>
  <si>
    <t>Payment</t>
  </si>
  <si>
    <t>Frequency</t>
  </si>
  <si>
    <t>Bi-Weekly</t>
  </si>
  <si>
    <t>Annually</t>
  </si>
  <si>
    <t>Semi-Annually</t>
  </si>
  <si>
    <t>Quarterly</t>
  </si>
  <si>
    <t>Bi-Monthly</t>
  </si>
  <si>
    <t>Monthly</t>
  </si>
  <si>
    <t>Semi-Monthly</t>
  </si>
  <si>
    <t>Download from Vertex42.com</t>
  </si>
  <si>
    <t>Auto Loan Payment Calculator</t>
  </si>
  <si>
    <t>v 1.0</t>
  </si>
  <si>
    <t>Auto Loan Amount</t>
  </si>
  <si>
    <t>Number of Payments</t>
  </si>
  <si>
    <t>Ending Balance:</t>
  </si>
  <si>
    <t>Reduced Interest</t>
  </si>
  <si>
    <t>Effect of Extra Payments</t>
  </si>
  <si>
    <t>Last Payment Date</t>
  </si>
  <si>
    <t>Purchase Price</t>
  </si>
  <si>
    <t>Title Transfer Fee</t>
  </si>
  <si>
    <t>Other Taxable Fees</t>
  </si>
  <si>
    <t>Non-Taxable Fees</t>
  </si>
  <si>
    <t>Sale Price + Options</t>
  </si>
  <si>
    <t>State Sales Tax Rate</t>
  </si>
  <si>
    <r>
      <t>Trade-In is</t>
    </r>
    <r>
      <rPr>
        <sz val="10"/>
        <rFont val="Tahoma"/>
        <family val="2"/>
      </rPr>
      <t xml:space="preserve"> Tax Deductible</t>
    </r>
  </si>
  <si>
    <t>Net Taxable</t>
  </si>
  <si>
    <t>State Sales Tax</t>
  </si>
  <si>
    <t>State Sales (Excise) Tax</t>
  </si>
  <si>
    <t>Other Non-Taxable Fees</t>
  </si>
  <si>
    <t>Registration</t>
  </si>
  <si>
    <t>Duplicate Title Fee</t>
  </si>
  <si>
    <t>Transaction Fee</t>
  </si>
  <si>
    <t>Special Plate Fee</t>
  </si>
  <si>
    <t>Administration Fee</t>
  </si>
  <si>
    <t>Total Non-Taxable Fees</t>
  </si>
  <si>
    <t>Destination charge</t>
  </si>
  <si>
    <t>Less Cash Rebate</t>
  </si>
  <si>
    <t>Less Down Payment</t>
  </si>
  <si>
    <t>Cash Rebate is Tax Deductible</t>
  </si>
  <si>
    <t>Less Value of Trade-In</t>
  </si>
  <si>
    <t>Unpaid Loan Balance on Trade-In</t>
  </si>
  <si>
    <t>Late Title Transfer Fee</t>
  </si>
  <si>
    <t>e.g. $25</t>
  </si>
  <si>
    <t>e.g. $3</t>
  </si>
  <si>
    <t>e.g. $25 to $200</t>
  </si>
  <si>
    <t>e.g. $40 to $100</t>
  </si>
  <si>
    <t xml:space="preserve"> If you don't know, set to FALSE</t>
  </si>
  <si>
    <t>Late Registration Fee</t>
  </si>
  <si>
    <t>e.g. $10 per month</t>
  </si>
  <si>
    <t xml:space="preserve"> Set to 0 if included in sale price</t>
  </si>
  <si>
    <t>e.g. $10</t>
  </si>
  <si>
    <t>Service Contract</t>
  </si>
  <si>
    <t>Read This</t>
  </si>
  <si>
    <t>e.g. $250 to $1000</t>
  </si>
  <si>
    <t>e.g. $6.25%</t>
  </si>
  <si>
    <r>
      <t>Summary</t>
    </r>
    <r>
      <rPr>
        <sz val="10"/>
        <color indexed="9"/>
        <rFont val="Tahoma"/>
        <family val="2"/>
      </rPr>
      <t xml:space="preserve"> (with no extra payments)</t>
    </r>
  </si>
  <si>
    <t>Auto Loan Calculator</t>
  </si>
  <si>
    <t>Total Loan Amount</t>
  </si>
  <si>
    <t>Loan Amount</t>
  </si>
  <si>
    <t>Down Payment</t>
  </si>
  <si>
    <r>
      <t>Purchase Price</t>
    </r>
    <r>
      <rPr>
        <sz val="10"/>
        <color indexed="9"/>
        <rFont val="Tahoma"/>
        <family val="2"/>
      </rPr>
      <t xml:space="preserve"> (before tax)</t>
    </r>
  </si>
  <si>
    <t>© 2007 Vertex42, LLC</t>
  </si>
  <si>
    <t>Total Paid</t>
  </si>
  <si>
    <t>Auto Loan Payment &amp; Interest Comparisons</t>
  </si>
  <si>
    <t># of Payments</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</si>
</sst>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quot;$&quot;#,##0.000_);[Red]\(&quot;$&quot;#,##0.000\)"/>
    <numFmt numFmtId="168" formatCode="&quot;$&quot;#,##0.0000_);[Red]\(&quot;$&quot;#,##0.0000\)"/>
    <numFmt numFmtId="169" formatCode="&quot;$&quot;#,##0.0_);[Red]\(&quot;$&quot;#,##0.0\)"/>
    <numFmt numFmtId="170" formatCode="_(* #,##0.0_);_(* \(#,##0.0\);_(* &quot;-&quot;??_);_(@_)"/>
    <numFmt numFmtId="171" formatCode="_(* #,##0_);_(* \(#,##0\);_(* &quot;-&quot;??_);_(@_)"/>
    <numFmt numFmtId="172" formatCode="&quot;$&quot;#,##0.00"/>
    <numFmt numFmtId="173" formatCode="mmmm\ d\,\ yyyy"/>
    <numFmt numFmtId="174" formatCode="d\-mmm\-yyyy"/>
    <numFmt numFmtId="175" formatCode="mmm\-yyyy"/>
    <numFmt numFmtId="176" formatCode="0.000%"/>
    <numFmt numFmtId="177" formatCode="0.0000"/>
    <numFmt numFmtId="178" formatCode="0.000"/>
    <numFmt numFmtId="179" formatCode="0.0"/>
    <numFmt numFmtId="180" formatCode="_(&quot;$&quot;* #,##0.000_);_(&quot;$&quot;* \(#,##0.000\);_(&quot;$&quot;* &quot;-&quot;??_);_(@_)"/>
    <numFmt numFmtId="181" formatCode="_(&quot;$&quot;\ #,##0_);_(&quot;$&quot;\ \(#,##0\);_(&quot;$&quot;\ &quot;-&quot;??_);_(@_)"/>
    <numFmt numFmtId="182" formatCode="[$-409]dddd\,\ mmmm\ dd\,\ yyyy"/>
    <numFmt numFmtId="183" formatCode="&quot;$&quot;#,##0"/>
    <numFmt numFmtId="184" formatCode="#,##0.0"/>
    <numFmt numFmtId="185" formatCode="0.0000000"/>
    <numFmt numFmtId="186" formatCode="0.000000"/>
    <numFmt numFmtId="187" formatCode="0.00000"/>
    <numFmt numFmtId="188" formatCode="#,##0.000"/>
    <numFmt numFmtId="189" formatCode="0.0000000000"/>
    <numFmt numFmtId="190" formatCode="0.00000000000"/>
    <numFmt numFmtId="191" formatCode="0.000000000"/>
    <numFmt numFmtId="192" formatCode="0.00000000"/>
    <numFmt numFmtId="193" formatCode="0.0000%"/>
    <numFmt numFmtId="194" formatCode="0.00000%"/>
    <numFmt numFmtId="195" formatCode="0.000000%"/>
    <numFmt numFmtId="196" formatCode="0.0000000%"/>
    <numFmt numFmtId="197" formatCode="0.00000000%"/>
    <numFmt numFmtId="198" formatCode="0.000000000%"/>
    <numFmt numFmtId="199" formatCode="0.0000000000%"/>
    <numFmt numFmtId="200" formatCode="0.00000000000%"/>
    <numFmt numFmtId="201" formatCode="_(* #,##0.000_);_(* \(#,##0.000\);_(* &quot;-&quot;???_);_(@_)"/>
    <numFmt numFmtId="202" formatCode="_(&quot;$&quot;* #,##0_);_(&quot;$&quot;* \(#,##0\);_(@_)"/>
    <numFmt numFmtId="203" formatCode="\$#,##0_);[Red]\(\$#,##0\)"/>
  </numFmts>
  <fonts count="67">
    <font>
      <sz val="10"/>
      <name val="Tahoma"/>
      <family val="2"/>
    </font>
    <font>
      <sz val="10"/>
      <name val="Arial"/>
      <family val="0"/>
    </font>
    <font>
      <u val="single"/>
      <sz val="10"/>
      <color indexed="36"/>
      <name val="Arial"/>
      <family val="0"/>
    </font>
    <font>
      <u val="single"/>
      <sz val="10"/>
      <color indexed="12"/>
      <name val="Tahoma"/>
      <family val="2"/>
    </font>
    <font>
      <sz val="8"/>
      <name val="Arial"/>
      <family val="0"/>
    </font>
    <font>
      <b/>
      <sz val="10"/>
      <name val="Tahoma"/>
      <family val="2"/>
    </font>
    <font>
      <sz val="8"/>
      <name val="Tahoma"/>
      <family val="2"/>
    </font>
    <font>
      <b/>
      <sz val="8"/>
      <name val="Tahoma"/>
      <family val="2"/>
    </font>
    <font>
      <b/>
      <u val="single"/>
      <sz val="8"/>
      <name val="Tahoma"/>
      <family val="2"/>
    </font>
    <font>
      <i/>
      <sz val="8"/>
      <name val="Tahoma"/>
      <family val="2"/>
    </font>
    <font>
      <b/>
      <sz val="10"/>
      <color indexed="10"/>
      <name val="Tahoma"/>
      <family val="2"/>
    </font>
    <font>
      <b/>
      <sz val="14"/>
      <color indexed="9"/>
      <name val="Tahoma"/>
      <family val="2"/>
    </font>
    <font>
      <sz val="10"/>
      <color indexed="9"/>
      <name val="Tahoma"/>
      <family val="2"/>
    </font>
    <font>
      <u val="single"/>
      <sz val="8"/>
      <color indexed="9"/>
      <name val="Tahoma"/>
      <family val="2"/>
    </font>
    <font>
      <sz val="8"/>
      <color indexed="9"/>
      <name val="Tahoma"/>
      <family val="2"/>
    </font>
    <font>
      <u val="single"/>
      <sz val="8"/>
      <color indexed="12"/>
      <name val="Tahoma"/>
      <family val="2"/>
    </font>
    <font>
      <i/>
      <sz val="10"/>
      <name val="Tahoma"/>
      <family val="2"/>
    </font>
    <font>
      <b/>
      <sz val="10"/>
      <color indexed="9"/>
      <name val="Tahoma"/>
      <family val="2"/>
    </font>
    <font>
      <b/>
      <sz val="6"/>
      <name val="Tahoma"/>
      <family val="2"/>
    </font>
    <font>
      <b/>
      <sz val="18"/>
      <color indexed="18"/>
      <name val="Cambria"/>
      <family val="2"/>
    </font>
    <font>
      <b/>
      <sz val="15"/>
      <color indexed="18"/>
      <name val="Calibri"/>
      <family val="2"/>
    </font>
    <font>
      <b/>
      <sz val="13"/>
      <color indexed="18"/>
      <name val="Calibri"/>
      <family val="2"/>
    </font>
    <font>
      <b/>
      <sz val="11"/>
      <color indexed="18"/>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ahoma"/>
      <family val="0"/>
    </font>
    <font>
      <b/>
      <sz val="10"/>
      <color indexed="8"/>
      <name val="Tahoma"/>
      <family val="0"/>
    </font>
    <font>
      <sz val="8"/>
      <color indexed="8"/>
      <name val="Tahoma"/>
      <family val="0"/>
    </font>
    <font>
      <sz val="3.75"/>
      <color indexed="8"/>
      <name val="Arial"/>
      <family val="0"/>
    </font>
    <font>
      <sz val="7"/>
      <color indexed="8"/>
      <name val="Arial"/>
      <family val="0"/>
    </font>
    <font>
      <sz val="7.35"/>
      <color indexed="8"/>
      <name val="Arial"/>
      <family val="0"/>
    </font>
    <font>
      <sz val="8"/>
      <color indexed="8"/>
      <name val="Arial"/>
      <family val="0"/>
    </font>
    <font>
      <b/>
      <sz val="8"/>
      <color indexed="8"/>
      <name val="Arial"/>
      <family val="0"/>
    </font>
    <font>
      <sz val="8"/>
      <color indexed="32"/>
      <name val="Arial"/>
      <family val="0"/>
    </font>
    <font>
      <sz val="8"/>
      <color indexed="10"/>
      <name val="Arial"/>
      <family val="0"/>
    </font>
    <font>
      <sz val="5.5"/>
      <color indexed="8"/>
      <name val="Arial"/>
      <family val="0"/>
    </font>
    <font>
      <i/>
      <sz val="8"/>
      <color indexed="8"/>
      <name val="Tahoma"/>
      <family val="0"/>
    </font>
    <font>
      <b/>
      <sz val="8"/>
      <color indexed="8"/>
      <name val="Tahoma"/>
      <family val="0"/>
    </font>
    <font>
      <sz val="5.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60"/>
        <bgColor indexed="64"/>
      </patternFill>
    </fill>
    <fill>
      <patternFill patternType="solid">
        <fgColor indexed="47"/>
        <bgColor indexed="64"/>
      </patternFill>
    </fill>
    <fill>
      <patternFill patternType="solid">
        <fgColor indexed="42"/>
        <bgColor indexed="64"/>
      </patternFill>
    </fill>
    <fill>
      <patternFill patternType="solid">
        <fgColor indexed="53"/>
        <bgColor indexed="64"/>
      </patternFill>
    </fill>
    <fill>
      <patternFill patternType="solid">
        <fgColor indexed="5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color indexed="63"/>
      </left>
      <right>
        <color indexed="63"/>
      </right>
      <top>
        <color indexed="63"/>
      </top>
      <bottom style="thin">
        <color indexed="23"/>
      </bottom>
    </border>
    <border>
      <left>
        <color indexed="63"/>
      </left>
      <right>
        <color indexed="63"/>
      </right>
      <top>
        <color indexed="63"/>
      </top>
      <bottom style="thin"/>
    </border>
    <border>
      <left>
        <color indexed="63"/>
      </left>
      <right>
        <color indexed="63"/>
      </right>
      <top>
        <color indexed="63"/>
      </top>
      <bottom style="thin">
        <color indexed="60"/>
      </bottom>
    </border>
    <border>
      <left>
        <color indexed="63"/>
      </left>
      <right>
        <color indexed="63"/>
      </right>
      <top>
        <color indexed="63"/>
      </top>
      <bottom style="thin">
        <color indexed="5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88">
    <xf numFmtId="0" fontId="0" fillId="0" borderId="0" xfId="0" applyAlignment="1">
      <alignment/>
    </xf>
    <xf numFmtId="0" fontId="0" fillId="33" borderId="0" xfId="0" applyFont="1" applyFill="1" applyAlignment="1" applyProtection="1">
      <alignment/>
      <protection/>
    </xf>
    <xf numFmtId="0" fontId="0" fillId="0" borderId="0" xfId="0" applyFont="1" applyAlignment="1" applyProtection="1">
      <alignment/>
      <protection/>
    </xf>
    <xf numFmtId="10" fontId="0" fillId="0" borderId="0" xfId="59" applyNumberFormat="1" applyFont="1" applyAlignment="1" applyProtection="1">
      <alignment/>
      <protection/>
    </xf>
    <xf numFmtId="0" fontId="0" fillId="0" borderId="0" xfId="0" applyFont="1" applyAlignment="1" applyProtection="1">
      <alignment/>
      <protection/>
    </xf>
    <xf numFmtId="0" fontId="6" fillId="0" borderId="0" xfId="0" applyFont="1" applyAlignment="1" applyProtection="1">
      <alignment horizontal="center"/>
      <protection/>
    </xf>
    <xf numFmtId="14" fontId="4" fillId="0" borderId="0" xfId="0" applyNumberFormat="1" applyFont="1" applyAlignment="1" applyProtection="1">
      <alignment horizontal="right"/>
      <protection/>
    </xf>
    <xf numFmtId="4" fontId="6" fillId="0" borderId="0" xfId="0" applyNumberFormat="1" applyFont="1" applyAlignment="1" applyProtection="1">
      <alignment horizontal="right"/>
      <protection/>
    </xf>
    <xf numFmtId="8" fontId="0" fillId="0" borderId="0" xfId="0" applyNumberFormat="1" applyFont="1" applyAlignment="1" applyProtection="1">
      <alignment/>
      <protection/>
    </xf>
    <xf numFmtId="4" fontId="6" fillId="34" borderId="0" xfId="0" applyNumberFormat="1" applyFont="1" applyFill="1" applyAlignment="1" applyProtection="1">
      <alignment horizontal="right"/>
      <protection locked="0"/>
    </xf>
    <xf numFmtId="0" fontId="0" fillId="0" borderId="0" xfId="0" applyAlignment="1" applyProtection="1">
      <alignment horizontal="right"/>
      <protection/>
    </xf>
    <xf numFmtId="0" fontId="11" fillId="35" borderId="0" xfId="0" applyFont="1" applyFill="1" applyAlignment="1" applyProtection="1">
      <alignment vertical="center"/>
      <protection/>
    </xf>
    <xf numFmtId="0" fontId="12" fillId="35" borderId="0" xfId="0" applyFont="1" applyFill="1" applyAlignment="1" applyProtection="1">
      <alignment/>
      <protection/>
    </xf>
    <xf numFmtId="0" fontId="13" fillId="35" borderId="0" xfId="53" applyFont="1" applyFill="1" applyAlignment="1" applyProtection="1">
      <alignment horizontal="right"/>
      <protection/>
    </xf>
    <xf numFmtId="0" fontId="6" fillId="36" borderId="0" xfId="0" applyFont="1" applyFill="1" applyAlignment="1" applyProtection="1">
      <alignment horizontal="center"/>
      <protection/>
    </xf>
    <xf numFmtId="14" fontId="4" fillId="36" borderId="0" xfId="0" applyNumberFormat="1" applyFont="1" applyFill="1" applyAlignment="1" applyProtection="1">
      <alignment horizontal="right"/>
      <protection/>
    </xf>
    <xf numFmtId="7" fontId="6" fillId="36" borderId="0" xfId="0" applyNumberFormat="1" applyFont="1" applyFill="1" applyAlignment="1" applyProtection="1">
      <alignment/>
      <protection/>
    </xf>
    <xf numFmtId="0" fontId="14" fillId="35" borderId="0" xfId="0" applyFont="1" applyFill="1" applyAlignment="1" applyProtection="1">
      <alignment horizontal="right"/>
      <protection/>
    </xf>
    <xf numFmtId="0" fontId="0" fillId="33" borderId="0" xfId="0" applyFill="1" applyAlignment="1" applyProtection="1">
      <alignment horizontal="right"/>
      <protection/>
    </xf>
    <xf numFmtId="4" fontId="6" fillId="33" borderId="0" xfId="0" applyNumberFormat="1" applyFont="1" applyFill="1" applyAlignment="1" applyProtection="1">
      <alignment/>
      <protection/>
    </xf>
    <xf numFmtId="0" fontId="0" fillId="35" borderId="0" xfId="0" applyFont="1" applyFill="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alignment horizontal="right"/>
      <protection/>
    </xf>
    <xf numFmtId="0" fontId="0" fillId="36" borderId="0" xfId="0" applyFont="1" applyFill="1" applyAlignment="1" applyProtection="1">
      <alignment horizontal="right"/>
      <protection/>
    </xf>
    <xf numFmtId="0" fontId="0" fillId="36" borderId="0" xfId="0" applyFill="1" applyAlignment="1" applyProtection="1">
      <alignment horizontal="right"/>
      <protection/>
    </xf>
    <xf numFmtId="0" fontId="15" fillId="36" borderId="0" xfId="53" applyFont="1" applyFill="1" applyAlignment="1" applyProtection="1">
      <alignment horizontal="left"/>
      <protection/>
    </xf>
    <xf numFmtId="0" fontId="0" fillId="36" borderId="0" xfId="0" applyFill="1" applyAlignment="1" applyProtection="1">
      <alignment/>
      <protection/>
    </xf>
    <xf numFmtId="0" fontId="0" fillId="36" borderId="0" xfId="0" applyFill="1" applyBorder="1" applyAlignment="1" applyProtection="1">
      <alignment horizontal="right" indent="1"/>
      <protection/>
    </xf>
    <xf numFmtId="0" fontId="0" fillId="36" borderId="0" xfId="0" applyFont="1" applyFill="1" applyBorder="1" applyAlignment="1" applyProtection="1">
      <alignment horizontal="right" indent="1"/>
      <protection/>
    </xf>
    <xf numFmtId="0" fontId="0" fillId="36" borderId="0" xfId="0" applyFill="1" applyAlignment="1" applyProtection="1">
      <alignment horizontal="right" indent="1"/>
      <protection/>
    </xf>
    <xf numFmtId="0" fontId="0" fillId="36" borderId="0" xfId="0" applyFont="1" applyFill="1" applyAlignment="1" applyProtection="1">
      <alignment horizontal="right" indent="1"/>
      <protection/>
    </xf>
    <xf numFmtId="0" fontId="10" fillId="36" borderId="0" xfId="0" applyFont="1" applyFill="1" applyAlignment="1" applyProtection="1">
      <alignment horizontal="center"/>
      <protection/>
    </xf>
    <xf numFmtId="0" fontId="0" fillId="36" borderId="0" xfId="0" applyFont="1" applyFill="1" applyAlignment="1" applyProtection="1">
      <alignment horizontal="right" indent="1"/>
      <protection/>
    </xf>
    <xf numFmtId="166" fontId="0" fillId="0" borderId="10" xfId="44" applyNumberFormat="1" applyFont="1" applyFill="1" applyBorder="1" applyAlignment="1" applyProtection="1">
      <alignment/>
      <protection locked="0"/>
    </xf>
    <xf numFmtId="10" fontId="0" fillId="0" borderId="10" xfId="59" applyNumberFormat="1" applyFont="1" applyFill="1" applyBorder="1" applyAlignment="1" applyProtection="1">
      <alignment/>
      <protection locked="0"/>
    </xf>
    <xf numFmtId="0" fontId="0" fillId="0" borderId="10" xfId="0" applyFont="1" applyFill="1" applyBorder="1" applyAlignment="1" applyProtection="1">
      <alignment/>
      <protection locked="0"/>
    </xf>
    <xf numFmtId="14" fontId="0" fillId="0" borderId="10" xfId="0" applyNumberFormat="1" applyFill="1" applyBorder="1" applyAlignment="1" applyProtection="1">
      <alignment horizontal="right" indent="1"/>
      <protection locked="0"/>
    </xf>
    <xf numFmtId="14" fontId="6" fillId="0" borderId="10" xfId="0" applyNumberFormat="1" applyFont="1" applyFill="1" applyBorder="1" applyAlignment="1" applyProtection="1">
      <alignment horizontal="right" indent="1"/>
      <protection locked="0"/>
    </xf>
    <xf numFmtId="176" fontId="0" fillId="33" borderId="10" xfId="59" applyNumberFormat="1" applyFont="1" applyFill="1" applyBorder="1" applyAlignment="1" applyProtection="1">
      <alignment/>
      <protection/>
    </xf>
    <xf numFmtId="8" fontId="5" fillId="37" borderId="10" xfId="0" applyNumberFormat="1" applyFont="1" applyFill="1" applyBorder="1" applyAlignment="1" applyProtection="1">
      <alignment/>
      <protection/>
    </xf>
    <xf numFmtId="8" fontId="0" fillId="33" borderId="10" xfId="44" applyNumberFormat="1" applyFont="1" applyFill="1" applyBorder="1" applyAlignment="1" applyProtection="1">
      <alignment/>
      <protection/>
    </xf>
    <xf numFmtId="44" fontId="0" fillId="33" borderId="10" xfId="44" applyFont="1" applyFill="1" applyBorder="1" applyAlignment="1" applyProtection="1">
      <alignment/>
      <protection/>
    </xf>
    <xf numFmtId="8" fontId="0" fillId="33" borderId="10" xfId="0" applyNumberFormat="1" applyFont="1" applyFill="1" applyBorder="1" applyAlignment="1" applyProtection="1">
      <alignment horizontal="right"/>
      <protection/>
    </xf>
    <xf numFmtId="0" fontId="0" fillId="33" borderId="10" xfId="0" applyFont="1" applyFill="1" applyBorder="1" applyAlignment="1" applyProtection="1">
      <alignment horizontal="center"/>
      <protection/>
    </xf>
    <xf numFmtId="14" fontId="0" fillId="33" borderId="10" xfId="0" applyNumberFormat="1" applyFont="1" applyFill="1" applyBorder="1" applyAlignment="1" applyProtection="1">
      <alignment horizontal="center"/>
      <protection/>
    </xf>
    <xf numFmtId="166" fontId="0" fillId="0" borderId="11" xfId="44" applyNumberFormat="1" applyFont="1" applyFill="1" applyBorder="1" applyAlignment="1" applyProtection="1">
      <alignment/>
      <protection locked="0"/>
    </xf>
    <xf numFmtId="0" fontId="0" fillId="33" borderId="11" xfId="0" applyFont="1" applyFill="1" applyBorder="1" applyAlignment="1" applyProtection="1">
      <alignment/>
      <protection/>
    </xf>
    <xf numFmtId="44" fontId="0" fillId="33" borderId="11" xfId="44" applyFont="1" applyFill="1" applyBorder="1" applyAlignment="1" applyProtection="1">
      <alignment/>
      <protection/>
    </xf>
    <xf numFmtId="0" fontId="17" fillId="38" borderId="12" xfId="0" applyFont="1" applyFill="1" applyBorder="1" applyAlignment="1" applyProtection="1">
      <alignment horizontal="left" vertical="center" indent="1"/>
      <protection/>
    </xf>
    <xf numFmtId="0" fontId="17" fillId="38" borderId="12" xfId="0" applyFont="1" applyFill="1" applyBorder="1" applyAlignment="1" applyProtection="1">
      <alignment horizontal="center" wrapText="1"/>
      <protection/>
    </xf>
    <xf numFmtId="0" fontId="5" fillId="39" borderId="13" xfId="0" applyFont="1" applyFill="1" applyBorder="1" applyAlignment="1" applyProtection="1">
      <alignment horizontal="center"/>
      <protection/>
    </xf>
    <xf numFmtId="0" fontId="5" fillId="39" borderId="13" xfId="0" applyFont="1" applyFill="1" applyBorder="1" applyAlignment="1" applyProtection="1">
      <alignment horizontal="right" wrapText="1"/>
      <protection/>
    </xf>
    <xf numFmtId="0" fontId="0" fillId="36" borderId="0" xfId="0" applyFill="1" applyAlignment="1">
      <alignment/>
    </xf>
    <xf numFmtId="0" fontId="6" fillId="36" borderId="0" xfId="0" applyFont="1" applyFill="1" applyAlignment="1">
      <alignment/>
    </xf>
    <xf numFmtId="6" fontId="6" fillId="36" borderId="0" xfId="0" applyNumberFormat="1" applyFont="1" applyFill="1" applyAlignment="1">
      <alignment horizontal="right"/>
    </xf>
    <xf numFmtId="0" fontId="5" fillId="36" borderId="0" xfId="0" applyFont="1" applyFill="1" applyBorder="1" applyAlignment="1" applyProtection="1">
      <alignment horizontal="right" indent="1"/>
      <protection/>
    </xf>
    <xf numFmtId="166" fontId="5" fillId="36" borderId="0" xfId="0" applyNumberFormat="1" applyFont="1" applyFill="1" applyBorder="1" applyAlignment="1">
      <alignment/>
    </xf>
    <xf numFmtId="166" fontId="0" fillId="36" borderId="0" xfId="44" applyNumberFormat="1" applyFont="1" applyFill="1" applyBorder="1" applyAlignment="1" applyProtection="1">
      <alignment/>
      <protection/>
    </xf>
    <xf numFmtId="44" fontId="5" fillId="36" borderId="0" xfId="44" applyFont="1" applyFill="1" applyBorder="1" applyAlignment="1" applyProtection="1">
      <alignment/>
      <protection/>
    </xf>
    <xf numFmtId="0" fontId="15" fillId="36" borderId="0" xfId="53" applyFont="1" applyFill="1" applyAlignment="1" applyProtection="1">
      <alignment/>
      <protection/>
    </xf>
    <xf numFmtId="0" fontId="16" fillId="36" borderId="0" xfId="0" applyFont="1" applyFill="1" applyAlignment="1" applyProtection="1">
      <alignment horizontal="right" indent="1"/>
      <protection/>
    </xf>
    <xf numFmtId="0" fontId="5" fillId="36" borderId="0" xfId="0" applyFont="1" applyFill="1" applyAlignment="1" applyProtection="1">
      <alignment horizontal="right" indent="1"/>
      <protection/>
    </xf>
    <xf numFmtId="0" fontId="17" fillId="38" borderId="14" xfId="0" applyFont="1" applyFill="1" applyBorder="1" applyAlignment="1" applyProtection="1">
      <alignment horizontal="left" vertical="center" indent="1"/>
      <protection/>
    </xf>
    <xf numFmtId="166" fontId="5" fillId="37" borderId="10" xfId="0" applyNumberFormat="1" applyFont="1" applyFill="1" applyBorder="1" applyAlignment="1">
      <alignment/>
    </xf>
    <xf numFmtId="0" fontId="18" fillId="39" borderId="13" xfId="0" applyFont="1" applyFill="1" applyBorder="1" applyAlignment="1" applyProtection="1">
      <alignment horizontal="right" wrapText="1"/>
      <protection/>
    </xf>
    <xf numFmtId="0" fontId="0" fillId="0" borderId="0" xfId="0" applyNumberFormat="1" applyFont="1" applyAlignment="1" applyProtection="1">
      <alignment/>
      <protection/>
    </xf>
    <xf numFmtId="4" fontId="0" fillId="0" borderId="0" xfId="0" applyNumberFormat="1" applyFont="1" applyAlignment="1" applyProtection="1">
      <alignment/>
      <protection/>
    </xf>
    <xf numFmtId="4" fontId="0" fillId="0" borderId="0" xfId="0" applyNumberFormat="1" applyFont="1" applyAlignment="1" applyProtection="1">
      <alignment/>
      <protection/>
    </xf>
    <xf numFmtId="4" fontId="0" fillId="0" borderId="0" xfId="0" applyNumberFormat="1" applyFont="1" applyAlignment="1" applyProtection="1">
      <alignment/>
      <protection/>
    </xf>
    <xf numFmtId="0" fontId="0" fillId="0" borderId="0" xfId="0" applyNumberFormat="1" applyFont="1" applyAlignment="1" applyProtection="1">
      <alignment/>
      <protection/>
    </xf>
    <xf numFmtId="0" fontId="15" fillId="33" borderId="0" xfId="53" applyFont="1" applyFill="1" applyAlignment="1" applyProtection="1">
      <alignment horizontal="left"/>
      <protection/>
    </xf>
    <xf numFmtId="0" fontId="0" fillId="33" borderId="0" xfId="0" applyFill="1" applyAlignment="1" applyProtection="1">
      <alignment/>
      <protection/>
    </xf>
    <xf numFmtId="0" fontId="0" fillId="33" borderId="0" xfId="0" applyFill="1" applyAlignment="1">
      <alignment/>
    </xf>
    <xf numFmtId="0" fontId="0" fillId="33" borderId="0" xfId="0" applyFill="1" applyAlignment="1" applyProtection="1">
      <alignment horizontal="right" indent="1"/>
      <protection/>
    </xf>
    <xf numFmtId="0" fontId="0" fillId="33" borderId="0" xfId="0" applyFont="1" applyFill="1" applyAlignment="1" applyProtection="1">
      <alignment horizontal="right" indent="1"/>
      <protection/>
    </xf>
    <xf numFmtId="0" fontId="0" fillId="33" borderId="0" xfId="0" applyFont="1" applyFill="1" applyAlignment="1" applyProtection="1">
      <alignment horizontal="right" indent="1"/>
      <protection/>
    </xf>
    <xf numFmtId="166" fontId="0" fillId="36" borderId="10" xfId="44" applyNumberFormat="1" applyFont="1" applyFill="1" applyBorder="1" applyAlignment="1" applyProtection="1">
      <alignment/>
      <protection/>
    </xf>
    <xf numFmtId="10" fontId="0" fillId="36" borderId="10" xfId="59" applyNumberFormat="1" applyFont="1" applyFill="1" applyBorder="1" applyAlignment="1" applyProtection="1">
      <alignment/>
      <protection/>
    </xf>
    <xf numFmtId="0" fontId="0" fillId="36" borderId="10" xfId="0" applyFont="1" applyFill="1" applyBorder="1" applyAlignment="1" applyProtection="1">
      <alignment/>
      <protection/>
    </xf>
    <xf numFmtId="14" fontId="6" fillId="36" borderId="10" xfId="0" applyNumberFormat="1" applyFont="1" applyFill="1" applyBorder="1" applyAlignment="1" applyProtection="1">
      <alignment horizontal="right" indent="1"/>
      <protection/>
    </xf>
    <xf numFmtId="0" fontId="16" fillId="33" borderId="0" xfId="0" applyFont="1" applyFill="1" applyAlignment="1" applyProtection="1">
      <alignment/>
      <protection/>
    </xf>
    <xf numFmtId="0" fontId="0" fillId="36" borderId="0" xfId="0" applyFill="1" applyAlignment="1" applyProtection="1">
      <alignment horizontal="center"/>
      <protection/>
    </xf>
    <xf numFmtId="0" fontId="0" fillId="36" borderId="0" xfId="0" applyFont="1" applyFill="1" applyAlignment="1" applyProtection="1">
      <alignment horizontal="center"/>
      <protection/>
    </xf>
    <xf numFmtId="0" fontId="0" fillId="36" borderId="0" xfId="0" applyFont="1" applyFill="1" applyAlignment="1" applyProtection="1">
      <alignment horizontal="center"/>
      <protection/>
    </xf>
    <xf numFmtId="8" fontId="0" fillId="36" borderId="0" xfId="0" applyNumberFormat="1" applyFont="1" applyFill="1" applyAlignment="1" applyProtection="1">
      <alignment horizontal="center"/>
      <protection/>
    </xf>
    <xf numFmtId="0" fontId="5" fillId="39" borderId="15" xfId="0" applyFont="1" applyFill="1" applyBorder="1" applyAlignment="1" applyProtection="1">
      <alignment horizontal="center" wrapText="1"/>
      <protection/>
    </xf>
    <xf numFmtId="0" fontId="5" fillId="39" borderId="15" xfId="0" applyFont="1" applyFill="1" applyBorder="1" applyAlignment="1" applyProtection="1">
      <alignment horizontal="right" wrapText="1"/>
      <protection/>
    </xf>
    <xf numFmtId="10" fontId="0" fillId="36" borderId="0" xfId="0" applyNumberFormat="1" applyFill="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color indexed="56"/>
      </font>
      <fill>
        <patternFill>
          <bgColor indexed="46"/>
        </patternFill>
      </fill>
    </dxf>
    <dxf>
      <font>
        <b/>
        <i val="0"/>
        <color rgb="FF003366"/>
      </font>
      <fill>
        <patternFill>
          <bgColor rgb="FFEBF3E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A0C9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EBF3E4"/>
      <rgbColor rgb="00EDE4F3"/>
      <rgbColor rgb="001849B5"/>
      <rgbColor rgb="0036ACA2"/>
      <rgbColor rgb="00F0BA00"/>
      <rgbColor rgb="00D2BCE1"/>
      <rgbColor rgb="00AC83C9"/>
      <rgbColor rgb="00673B87"/>
      <rgbColor rgb="005B873B"/>
      <rgbColor rgb="00B2B2B2"/>
      <rgbColor rgb="00003366"/>
      <rgbColor rgb="00109618"/>
      <rgbColor rgb="00085108"/>
      <rgbColor rgb="00635100"/>
      <rgbColor rgb="00442759"/>
      <rgbColor rgb="00CBE1BC"/>
      <rgbColor rgb="003C59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75"/>
          <c:w val="1"/>
          <c:h val="1"/>
        </c:manualLayout>
      </c:layout>
      <c:lineChart>
        <c:grouping val="standard"/>
        <c:varyColors val="0"/>
        <c:ser>
          <c:idx val="0"/>
          <c:order val="0"/>
          <c:tx>
            <c:v>Balance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[0]!chart_date</c:f>
              <c:strCache/>
            </c:strRef>
          </c:cat>
          <c:val>
            <c:numRef>
              <c:f>[0]!chart_balance</c:f>
              <c:numCache/>
            </c:numRef>
          </c:val>
          <c:smooth val="0"/>
        </c:ser>
        <c:ser>
          <c:idx val="1"/>
          <c:order val="1"/>
          <c:tx>
            <c:v>No Extra Payments</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[0]!chart_balance_noextra</c:f>
              <c:numCache>
                <c:ptCount val="36"/>
                <c:pt idx="0">
                  <c:v>19510.31666666667</c:v>
                </c:pt>
                <c:pt idx="1">
                  <c:v>19017.164743055553</c:v>
                </c:pt>
                <c:pt idx="2">
                  <c:v>18520.519659985537</c:v>
                </c:pt>
                <c:pt idx="3">
                  <c:v>18020.356674243758</c:v>
                </c:pt>
                <c:pt idx="4">
                  <c:v>17516.650867352993</c:v>
                </c:pt>
                <c:pt idx="5">
                  <c:v>17009.377144330065</c:v>
                </c:pt>
                <c:pt idx="6">
                  <c:v>16498.51023243575</c:v>
                </c:pt>
                <c:pt idx="7">
                  <c:v>15984.024679915481</c:v>
                </c:pt>
                <c:pt idx="8">
                  <c:v>15465.894854731545</c:v>
                </c:pt>
                <c:pt idx="9">
                  <c:v>14944.094943285902</c:v>
                </c:pt>
                <c:pt idx="10">
                  <c:v>14418.598949134182</c:v>
                </c:pt>
                <c:pt idx="11">
                  <c:v>13889.38069169053</c:v>
                </c:pt>
                <c:pt idx="12">
                  <c:v>13356.41380492335</c:v>
                </c:pt>
                <c:pt idx="13">
                  <c:v>12819.671736041553</c:v>
                </c:pt>
                <c:pt idx="14">
                  <c:v>12279.12774417186</c:v>
                </c:pt>
                <c:pt idx="15">
                  <c:v>11734.754899026393</c:v>
                </c:pt>
                <c:pt idx="16">
                  <c:v>11186.526079561163</c:v>
                </c:pt>
                <c:pt idx="17">
                  <c:v>10634.413972624721</c:v>
                </c:pt>
                <c:pt idx="18">
                  <c:v>10078.391071597485</c:v>
                </c:pt>
                <c:pt idx="19">
                  <c:v>9518.429675021285</c:v>
                </c:pt>
                <c:pt idx="20">
                  <c:v>8954.501885219368</c:v>
                </c:pt>
                <c:pt idx="21">
                  <c:v>8386.57960690632</c:v>
                </c:pt>
                <c:pt idx="22">
                  <c:v>7814.634545788584</c:v>
                </c:pt>
                <c:pt idx="23">
                  <c:v>7238.638207154574</c:v>
                </c:pt>
                <c:pt idx="24">
                  <c:v>6658.561894455237</c:v>
                </c:pt>
                <c:pt idx="25">
                  <c:v>6074.376707874311</c:v>
                </c:pt>
                <c:pt idx="26">
                  <c:v>5486.053542888432</c:v>
                </c:pt>
                <c:pt idx="27">
                  <c:v>4893.563088817198</c:v>
                </c:pt>
                <c:pt idx="28">
                  <c:v>4296.875827363005</c:v>
                </c:pt>
                <c:pt idx="29">
                  <c:v>3695.9620311401522</c:v>
                </c:pt>
                <c:pt idx="30">
                  <c:v>3090.791762194065</c:v>
                </c:pt>
                <c:pt idx="31">
                  <c:v>2481.334870509596</c:v>
                </c:pt>
                <c:pt idx="32">
                  <c:v>1867.560992509043</c:v>
                </c:pt>
                <c:pt idx="33">
                  <c:v>1249.4395495393</c:v>
                </c:pt>
                <c:pt idx="34">
                  <c:v>626.9397463485548</c:v>
                </c:pt>
                <c:pt idx="35">
                  <c:v>0.03056955184729304</c:v>
                </c:pt>
              </c:numCache>
            </c:numRef>
          </c:val>
          <c:smooth val="0"/>
        </c:ser>
        <c:marker val="1"/>
        <c:axId val="52489769"/>
        <c:axId val="2645874"/>
      </c:lineChart>
      <c:dateAx>
        <c:axId val="52489769"/>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700" b="0" i="0" u="none" baseline="0">
                <a:solidFill>
                  <a:srgbClr val="000000"/>
                </a:solidFill>
              </a:defRPr>
            </a:pPr>
          </a:p>
        </c:txPr>
        <c:crossAx val="2645874"/>
        <c:crosses val="autoZero"/>
        <c:auto val="0"/>
        <c:baseTimeUnit val="months"/>
        <c:majorUnit val="3"/>
        <c:majorTimeUnit val="months"/>
        <c:minorUnit val="1"/>
        <c:minorTimeUnit val="months"/>
        <c:noMultiLvlLbl val="0"/>
      </c:dateAx>
      <c:valAx>
        <c:axId val="2645874"/>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2489769"/>
        <c:crossesAt val="1"/>
        <c:crossBetween val="between"/>
        <c:dispUnits/>
      </c:valAx>
      <c:spPr>
        <a:noFill/>
        <a:ln>
          <a:noFill/>
        </a:ln>
      </c:spPr>
    </c:plotArea>
    <c:legend>
      <c:legendPos val="r"/>
      <c:layout>
        <c:manualLayout>
          <c:xMode val="edge"/>
          <c:yMode val="edge"/>
          <c:x val="0.45775"/>
          <c:y val="0"/>
          <c:w val="0.54225"/>
          <c:h val="0.2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375"/>
          <c:w val="1"/>
          <c:h val="0.99625"/>
        </c:manualLayout>
      </c:layout>
      <c:lineChart>
        <c:grouping val="standard"/>
        <c:varyColors val="0"/>
        <c:ser>
          <c:idx val="0"/>
          <c:order val="0"/>
          <c:tx>
            <c:strRef>
              <c:f>LoanComparisons!$C$22</c:f>
              <c:strCache>
                <c:ptCount val="1"/>
                <c:pt idx="0">
                  <c:v>Payment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LoanComparisons!$A$24:$A$34</c:f>
              <c:numCache/>
            </c:numRef>
          </c:cat>
          <c:val>
            <c:numRef>
              <c:f>LoanComparisons!$C$24:$C$34</c:f>
              <c:numCache/>
            </c:numRef>
          </c:val>
          <c:smooth val="0"/>
        </c:ser>
        <c:marker val="1"/>
        <c:axId val="23812867"/>
        <c:axId val="12989212"/>
      </c:lineChart>
      <c:lineChart>
        <c:grouping val="standard"/>
        <c:varyColors val="0"/>
        <c:ser>
          <c:idx val="1"/>
          <c:order val="1"/>
          <c:tx>
            <c:strRef>
              <c:f>LoanComparisons!$D$22</c:f>
              <c:strCache>
                <c:ptCount val="1"/>
                <c:pt idx="0">
                  <c:v>Total Interest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FF0000"/>
              </a:solidFill>
              <a:ln>
                <a:solidFill>
                  <a:srgbClr val="FF0000"/>
                </a:solidFill>
              </a:ln>
            </c:spPr>
          </c:marker>
          <c:cat>
            <c:numRef>
              <c:f>LoanComparisons!$A$24:$A$34</c:f>
              <c:numCache/>
            </c:numRef>
          </c:cat>
          <c:val>
            <c:numRef>
              <c:f>LoanComparisons!$D$24:$D$34</c:f>
              <c:numCache/>
            </c:numRef>
          </c:val>
          <c:smooth val="0"/>
        </c:ser>
        <c:marker val="1"/>
        <c:axId val="49794045"/>
        <c:axId val="45493222"/>
      </c:lineChart>
      <c:catAx>
        <c:axId val="23812867"/>
        <c:scaling>
          <c:orientation val="minMax"/>
        </c:scaling>
        <c:axPos val="b"/>
        <c:title>
          <c:tx>
            <c:rich>
              <a:bodyPr vert="horz" rot="0" anchor="ctr"/>
              <a:lstStyle/>
              <a:p>
                <a:pPr algn="ctr">
                  <a:defRPr/>
                </a:pPr>
                <a:r>
                  <a:rPr lang="en-US" cap="none" sz="800" b="1" i="0" u="none" baseline="0">
                    <a:solidFill>
                      <a:srgbClr val="000000"/>
                    </a:solidFill>
                  </a:rPr>
                  <a:t>Number of Payments</a:t>
                </a:r>
              </a:p>
            </c:rich>
          </c:tx>
          <c:layout>
            <c:manualLayout>
              <c:xMode val="factor"/>
              <c:yMode val="factor"/>
              <c:x val="0.04175"/>
              <c:y val="-0.007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2989212"/>
        <c:crosses val="autoZero"/>
        <c:auto val="1"/>
        <c:lblOffset val="100"/>
        <c:tickLblSkip val="1"/>
        <c:noMultiLvlLbl val="0"/>
      </c:catAx>
      <c:valAx>
        <c:axId val="12989212"/>
        <c:scaling>
          <c:orientation val="minMax"/>
        </c:scaling>
        <c:axPos val="l"/>
        <c:delete val="0"/>
        <c:numFmt formatCode="#,##0" sourceLinked="0"/>
        <c:majorTickMark val="out"/>
        <c:minorTickMark val="none"/>
        <c:tickLblPos val="nextTo"/>
        <c:spPr>
          <a:ln w="3175">
            <a:solidFill>
              <a:srgbClr val="000080"/>
            </a:solidFill>
          </a:ln>
        </c:spPr>
        <c:txPr>
          <a:bodyPr vert="horz" rot="0"/>
          <a:lstStyle/>
          <a:p>
            <a:pPr>
              <a:defRPr lang="en-US" cap="none" sz="800" b="0" i="0" u="none" baseline="0">
                <a:solidFill>
                  <a:srgbClr val="000080"/>
                </a:solidFill>
              </a:defRPr>
            </a:pPr>
          </a:p>
        </c:txPr>
        <c:crossAx val="23812867"/>
        <c:crossesAt val="1"/>
        <c:crossBetween val="between"/>
        <c:dispUnits/>
      </c:valAx>
      <c:catAx>
        <c:axId val="49794045"/>
        <c:scaling>
          <c:orientation val="minMax"/>
        </c:scaling>
        <c:axPos val="b"/>
        <c:delete val="1"/>
        <c:majorTickMark val="out"/>
        <c:minorTickMark val="none"/>
        <c:tickLblPos val="nextTo"/>
        <c:crossAx val="45493222"/>
        <c:crosses val="autoZero"/>
        <c:auto val="1"/>
        <c:lblOffset val="100"/>
        <c:tickLblSkip val="1"/>
        <c:noMultiLvlLbl val="0"/>
      </c:catAx>
      <c:valAx>
        <c:axId val="45493222"/>
        <c:scaling>
          <c:orientation val="minMax"/>
        </c:scaling>
        <c:axPos val="l"/>
        <c:delete val="0"/>
        <c:numFmt formatCode="#,##0" sourceLinked="0"/>
        <c:majorTickMark val="cross"/>
        <c:minorTickMark val="none"/>
        <c:tickLblPos val="nextTo"/>
        <c:spPr>
          <a:ln w="3175">
            <a:solidFill>
              <a:srgbClr val="FF0000"/>
            </a:solidFill>
          </a:ln>
        </c:spPr>
        <c:txPr>
          <a:bodyPr vert="horz" rot="0"/>
          <a:lstStyle/>
          <a:p>
            <a:pPr>
              <a:defRPr lang="en-US" cap="none" sz="800" b="0" i="0" u="none" baseline="0">
                <a:solidFill>
                  <a:srgbClr val="FF0000"/>
                </a:solidFill>
              </a:defRPr>
            </a:pPr>
          </a:p>
        </c:txPr>
        <c:crossAx val="49794045"/>
        <c:crosses val="max"/>
        <c:crossBetween val="between"/>
        <c:dispUnits/>
      </c:valAx>
      <c:spPr>
        <a:noFill/>
        <a:ln>
          <a:noFill/>
        </a:ln>
      </c:spPr>
    </c:plotArea>
    <c:legend>
      <c:legendPos val="r"/>
      <c:layout>
        <c:manualLayout>
          <c:xMode val="edge"/>
          <c:yMode val="edge"/>
          <c:x val="0.29175"/>
          <c:y val="0.02175"/>
          <c:w val="0.43275"/>
          <c:h val="0.157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LoanComparisons!$C$37</c:f>
              <c:strCache>
                <c:ptCount val="1"/>
                <c:pt idx="0">
                  <c:v>Payment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LoanComparisons!$A$38:$A$43</c:f>
              <c:numCache/>
            </c:numRef>
          </c:cat>
          <c:val>
            <c:numRef>
              <c:f>LoanComparisons!$C$38:$C$43</c:f>
              <c:numCache/>
            </c:numRef>
          </c:val>
          <c:smooth val="0"/>
        </c:ser>
        <c:marker val="1"/>
        <c:axId val="6785815"/>
        <c:axId val="61072336"/>
      </c:lineChart>
      <c:lineChart>
        <c:grouping val="standard"/>
        <c:varyColors val="0"/>
        <c:ser>
          <c:idx val="1"/>
          <c:order val="1"/>
          <c:tx>
            <c:strRef>
              <c:f>LoanComparisons!$D$37</c:f>
              <c:strCache>
                <c:ptCount val="1"/>
                <c:pt idx="0">
                  <c:v>Total Interest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FF0000"/>
              </a:solidFill>
              <a:ln>
                <a:solidFill>
                  <a:srgbClr val="FF0000"/>
                </a:solidFill>
              </a:ln>
            </c:spPr>
          </c:marker>
          <c:cat>
            <c:numRef>
              <c:f>LoanComparisons!$A$38:$A$43</c:f>
              <c:numCache/>
            </c:numRef>
          </c:cat>
          <c:val>
            <c:numRef>
              <c:f>LoanComparisons!$D$38:$D$43</c:f>
              <c:numCache/>
            </c:numRef>
          </c:val>
          <c:smooth val="0"/>
        </c:ser>
        <c:marker val="1"/>
        <c:axId val="12780113"/>
        <c:axId val="47912154"/>
      </c:lineChart>
      <c:catAx>
        <c:axId val="6785815"/>
        <c:scaling>
          <c:orientation val="minMax"/>
        </c:scaling>
        <c:axPos val="b"/>
        <c:title>
          <c:tx>
            <c:rich>
              <a:bodyPr vert="horz" rot="0" anchor="ctr"/>
              <a:lstStyle/>
              <a:p>
                <a:pPr algn="ctr">
                  <a:defRPr/>
                </a:pPr>
                <a:r>
                  <a:rPr lang="en-US" cap="none" sz="800" b="1" i="0" u="none" baseline="0">
                    <a:solidFill>
                      <a:srgbClr val="000000"/>
                    </a:solidFill>
                  </a:rPr>
                  <a:t>Down Payment</a:t>
                </a:r>
              </a:p>
            </c:rich>
          </c:tx>
          <c:layout>
            <c:manualLayout>
              <c:xMode val="factor"/>
              <c:yMode val="factor"/>
              <c:x val="0.049"/>
              <c:y val="-0.005"/>
            </c:manualLayout>
          </c:layout>
          <c:overlay val="0"/>
          <c:spPr>
            <a:noFill/>
            <a:ln>
              <a:noFill/>
            </a:ln>
          </c:spPr>
        </c:title>
        <c:delete val="0"/>
        <c:numFmt formatCode="\$#,##0_);[Red]\(\$#,##0\)"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61072336"/>
        <c:crosses val="autoZero"/>
        <c:auto val="1"/>
        <c:lblOffset val="100"/>
        <c:tickLblSkip val="1"/>
        <c:noMultiLvlLbl val="0"/>
      </c:catAx>
      <c:valAx>
        <c:axId val="61072336"/>
        <c:scaling>
          <c:orientation val="minMax"/>
        </c:scaling>
        <c:axPos val="l"/>
        <c:delete val="0"/>
        <c:numFmt formatCode="#,##0" sourceLinked="0"/>
        <c:majorTickMark val="out"/>
        <c:minorTickMark val="none"/>
        <c:tickLblPos val="nextTo"/>
        <c:spPr>
          <a:ln w="3175">
            <a:solidFill>
              <a:srgbClr val="000080"/>
            </a:solidFill>
          </a:ln>
        </c:spPr>
        <c:txPr>
          <a:bodyPr vert="horz" rot="0"/>
          <a:lstStyle/>
          <a:p>
            <a:pPr>
              <a:defRPr lang="en-US" cap="none" sz="800" b="0" i="0" u="none" baseline="0">
                <a:solidFill>
                  <a:srgbClr val="000080"/>
                </a:solidFill>
              </a:defRPr>
            </a:pPr>
          </a:p>
        </c:txPr>
        <c:crossAx val="6785815"/>
        <c:crossesAt val="1"/>
        <c:crossBetween val="between"/>
        <c:dispUnits/>
      </c:valAx>
      <c:catAx>
        <c:axId val="12780113"/>
        <c:scaling>
          <c:orientation val="minMax"/>
        </c:scaling>
        <c:axPos val="b"/>
        <c:delete val="1"/>
        <c:majorTickMark val="out"/>
        <c:minorTickMark val="none"/>
        <c:tickLblPos val="nextTo"/>
        <c:crossAx val="47912154"/>
        <c:crosses val="autoZero"/>
        <c:auto val="1"/>
        <c:lblOffset val="100"/>
        <c:tickLblSkip val="1"/>
        <c:noMultiLvlLbl val="0"/>
      </c:catAx>
      <c:valAx>
        <c:axId val="47912154"/>
        <c:scaling>
          <c:orientation val="minMax"/>
        </c:scaling>
        <c:axPos val="l"/>
        <c:delete val="0"/>
        <c:numFmt formatCode="#,##0" sourceLinked="0"/>
        <c:majorTickMark val="cross"/>
        <c:minorTickMark val="none"/>
        <c:tickLblPos val="nextTo"/>
        <c:spPr>
          <a:ln w="3175">
            <a:solidFill>
              <a:srgbClr val="FF0000"/>
            </a:solidFill>
          </a:ln>
        </c:spPr>
        <c:txPr>
          <a:bodyPr vert="horz" rot="0"/>
          <a:lstStyle/>
          <a:p>
            <a:pPr>
              <a:defRPr lang="en-US" cap="none" sz="800" b="0" i="0" u="none" baseline="0">
                <a:solidFill>
                  <a:srgbClr val="FF0000"/>
                </a:solidFill>
              </a:defRPr>
            </a:pPr>
          </a:p>
        </c:txPr>
        <c:crossAx val="12780113"/>
        <c:crosses val="max"/>
        <c:crossBetween val="between"/>
        <c:dispUnits/>
      </c:valAx>
      <c:spPr>
        <a:noFill/>
        <a:ln>
          <a:noFill/>
        </a:ln>
      </c:spPr>
    </c:plotArea>
    <c:legend>
      <c:legendPos val="r"/>
      <c:layout>
        <c:manualLayout>
          <c:xMode val="edge"/>
          <c:yMode val="edge"/>
          <c:x val="0.452"/>
          <c:y val="0.00525"/>
          <c:w val="0.43275"/>
          <c:h val="0.18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5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LoanComparisons!$C$10</c:f>
              <c:strCache>
                <c:ptCount val="1"/>
                <c:pt idx="0">
                  <c:v>Payment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LoanComparisons!$A$11:$A$19</c:f>
              <c:numCache/>
            </c:numRef>
          </c:cat>
          <c:val>
            <c:numRef>
              <c:f>LoanComparisons!$C$11:$C$19</c:f>
              <c:numCache/>
            </c:numRef>
          </c:val>
          <c:smooth val="0"/>
        </c:ser>
        <c:marker val="1"/>
        <c:axId val="28556203"/>
        <c:axId val="55679236"/>
      </c:lineChart>
      <c:lineChart>
        <c:grouping val="standard"/>
        <c:varyColors val="0"/>
        <c:ser>
          <c:idx val="1"/>
          <c:order val="1"/>
          <c:tx>
            <c:strRef>
              <c:f>LoanComparisons!$D$10</c:f>
              <c:strCache>
                <c:ptCount val="1"/>
                <c:pt idx="0">
                  <c:v>Total Interest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FF0000"/>
              </a:solidFill>
              <a:ln>
                <a:solidFill>
                  <a:srgbClr val="FF0000"/>
                </a:solidFill>
              </a:ln>
            </c:spPr>
          </c:marker>
          <c:cat>
            <c:numRef>
              <c:f>LoanComparisons!$A$11:$A$19</c:f>
              <c:numCache/>
            </c:numRef>
          </c:cat>
          <c:val>
            <c:numRef>
              <c:f>LoanComparisons!$D$11:$D$19</c:f>
              <c:numCache/>
            </c:numRef>
          </c:val>
          <c:smooth val="0"/>
        </c:ser>
        <c:marker val="1"/>
        <c:axId val="31351077"/>
        <c:axId val="13724238"/>
      </c:lineChart>
      <c:catAx>
        <c:axId val="28556203"/>
        <c:scaling>
          <c:orientation val="minMax"/>
        </c:scaling>
        <c:axPos val="b"/>
        <c:title>
          <c:tx>
            <c:rich>
              <a:bodyPr vert="horz" rot="0" anchor="ctr"/>
              <a:lstStyle/>
              <a:p>
                <a:pPr algn="ctr">
                  <a:defRPr/>
                </a:pPr>
                <a:r>
                  <a:rPr lang="en-US" cap="none" sz="800" b="1" i="0" u="none" baseline="0">
                    <a:solidFill>
                      <a:srgbClr val="000000"/>
                    </a:solidFill>
                  </a:rPr>
                  <a:t>Annual Interest Rate</a:t>
                </a:r>
              </a:p>
            </c:rich>
          </c:tx>
          <c:layout>
            <c:manualLayout>
              <c:xMode val="factor"/>
              <c:yMode val="factor"/>
              <c:x val="0.04625"/>
              <c:y val="-0.005"/>
            </c:manualLayout>
          </c:layout>
          <c:overlay val="0"/>
          <c:spPr>
            <a:noFill/>
            <a:ln>
              <a:noFill/>
            </a:ln>
          </c:spPr>
        </c:title>
        <c:delete val="0"/>
        <c:numFmt formatCode="0.0%"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55679236"/>
        <c:crosses val="autoZero"/>
        <c:auto val="1"/>
        <c:lblOffset val="100"/>
        <c:tickLblSkip val="1"/>
        <c:noMultiLvlLbl val="0"/>
      </c:catAx>
      <c:valAx>
        <c:axId val="55679236"/>
        <c:scaling>
          <c:orientation val="minMax"/>
        </c:scaling>
        <c:axPos val="l"/>
        <c:delete val="0"/>
        <c:numFmt formatCode="#,##0" sourceLinked="0"/>
        <c:majorTickMark val="out"/>
        <c:minorTickMark val="none"/>
        <c:tickLblPos val="nextTo"/>
        <c:spPr>
          <a:ln w="3175">
            <a:solidFill>
              <a:srgbClr val="000080"/>
            </a:solidFill>
          </a:ln>
        </c:spPr>
        <c:txPr>
          <a:bodyPr vert="horz" rot="0"/>
          <a:lstStyle/>
          <a:p>
            <a:pPr>
              <a:defRPr lang="en-US" cap="none" sz="800" b="0" i="0" u="none" baseline="0">
                <a:solidFill>
                  <a:srgbClr val="000080"/>
                </a:solidFill>
              </a:defRPr>
            </a:pPr>
          </a:p>
        </c:txPr>
        <c:crossAx val="28556203"/>
        <c:crossesAt val="1"/>
        <c:crossBetween val="between"/>
        <c:dispUnits/>
      </c:valAx>
      <c:catAx>
        <c:axId val="31351077"/>
        <c:scaling>
          <c:orientation val="minMax"/>
        </c:scaling>
        <c:axPos val="b"/>
        <c:delete val="1"/>
        <c:majorTickMark val="out"/>
        <c:minorTickMark val="none"/>
        <c:tickLblPos val="nextTo"/>
        <c:crossAx val="13724238"/>
        <c:crosses val="autoZero"/>
        <c:auto val="1"/>
        <c:lblOffset val="100"/>
        <c:tickLblSkip val="1"/>
        <c:noMultiLvlLbl val="0"/>
      </c:catAx>
      <c:valAx>
        <c:axId val="13724238"/>
        <c:scaling>
          <c:orientation val="minMax"/>
        </c:scaling>
        <c:axPos val="l"/>
        <c:delete val="0"/>
        <c:numFmt formatCode="#,##0" sourceLinked="0"/>
        <c:majorTickMark val="cross"/>
        <c:minorTickMark val="none"/>
        <c:tickLblPos val="nextTo"/>
        <c:spPr>
          <a:ln w="3175">
            <a:solidFill>
              <a:srgbClr val="FF0000"/>
            </a:solidFill>
          </a:ln>
        </c:spPr>
        <c:txPr>
          <a:bodyPr vert="horz" rot="0"/>
          <a:lstStyle/>
          <a:p>
            <a:pPr>
              <a:defRPr lang="en-US" cap="none" sz="800" b="0" i="0" u="none" baseline="0">
                <a:solidFill>
                  <a:srgbClr val="FF0000"/>
                </a:solidFill>
              </a:defRPr>
            </a:pPr>
          </a:p>
        </c:txPr>
        <c:crossAx val="31351077"/>
        <c:crosses val="max"/>
        <c:crossBetween val="between"/>
        <c:dispUnits/>
      </c:valAx>
      <c:spPr>
        <a:noFill/>
        <a:ln>
          <a:noFill/>
        </a:ln>
      </c:spPr>
    </c:plotArea>
    <c:legend>
      <c:legendPos val="r"/>
      <c:layout>
        <c:manualLayout>
          <c:xMode val="edge"/>
          <c:yMode val="edge"/>
          <c:x val="0.11825"/>
          <c:y val="0"/>
          <c:w val="0.43125"/>
          <c:h val="0.17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1"/>
        </c:manualLayout>
      </c:layout>
      <c:lineChart>
        <c:grouping val="standard"/>
        <c:varyColors val="0"/>
        <c:ser>
          <c:idx val="0"/>
          <c:order val="0"/>
          <c:tx>
            <c:strRef>
              <c:f>LoanComparisons!$C$49</c:f>
              <c:strCache>
                <c:ptCount val="1"/>
                <c:pt idx="0">
                  <c:v>Payment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strRef>
              <c:f>LoanComparisons!$A$52:$A$56</c:f>
              <c:strCache/>
            </c:strRef>
          </c:cat>
          <c:val>
            <c:numRef>
              <c:f>LoanComparisons!$C$52:$C$56</c:f>
              <c:numCache/>
            </c:numRef>
          </c:val>
          <c:smooth val="0"/>
        </c:ser>
        <c:marker val="1"/>
        <c:axId val="56409279"/>
        <c:axId val="37921464"/>
      </c:lineChart>
      <c:lineChart>
        <c:grouping val="standard"/>
        <c:varyColors val="0"/>
        <c:ser>
          <c:idx val="1"/>
          <c:order val="1"/>
          <c:tx>
            <c:strRef>
              <c:f>LoanComparisons!$D$49</c:f>
              <c:strCache>
                <c:ptCount val="1"/>
                <c:pt idx="0">
                  <c:v>Total Interest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FF0000"/>
              </a:solidFill>
              <a:ln>
                <a:solidFill>
                  <a:srgbClr val="FF0000"/>
                </a:solidFill>
              </a:ln>
            </c:spPr>
          </c:marker>
          <c:cat>
            <c:strRef>
              <c:f>LoanComparisons!$A$52:$A$56</c:f>
              <c:strCache/>
            </c:strRef>
          </c:cat>
          <c:val>
            <c:numRef>
              <c:f>LoanComparisons!$D$52:$D$56</c:f>
              <c:numCache/>
            </c:numRef>
          </c:val>
          <c:smooth val="0"/>
        </c:ser>
        <c:marker val="1"/>
        <c:axId val="5748857"/>
        <c:axId val="51739714"/>
      </c:lineChart>
      <c:catAx>
        <c:axId val="56409279"/>
        <c:scaling>
          <c:orientation val="minMax"/>
        </c:scaling>
        <c:axPos val="b"/>
        <c:title>
          <c:tx>
            <c:rich>
              <a:bodyPr vert="horz" rot="0" anchor="ctr"/>
              <a:lstStyle/>
              <a:p>
                <a:pPr algn="ctr">
                  <a:defRPr/>
                </a:pPr>
                <a:r>
                  <a:rPr lang="en-US" cap="none" sz="800" b="1" i="0" u="none" baseline="0">
                    <a:solidFill>
                      <a:srgbClr val="000000"/>
                    </a:solidFill>
                  </a:rPr>
                  <a:t>Payment Frequency</a:t>
                </a:r>
              </a:p>
            </c:rich>
          </c:tx>
          <c:layout>
            <c:manualLayout>
              <c:xMode val="factor"/>
              <c:yMode val="factor"/>
              <c:x val="-0.042"/>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37921464"/>
        <c:crosses val="autoZero"/>
        <c:auto val="1"/>
        <c:lblOffset val="100"/>
        <c:tickLblSkip val="1"/>
        <c:noMultiLvlLbl val="0"/>
      </c:catAx>
      <c:valAx>
        <c:axId val="37921464"/>
        <c:scaling>
          <c:orientation val="minMax"/>
        </c:scaling>
        <c:axPos val="l"/>
        <c:delete val="0"/>
        <c:numFmt formatCode="#,##0" sourceLinked="0"/>
        <c:majorTickMark val="out"/>
        <c:minorTickMark val="none"/>
        <c:tickLblPos val="nextTo"/>
        <c:spPr>
          <a:ln w="3175">
            <a:solidFill>
              <a:srgbClr val="000080"/>
            </a:solidFill>
          </a:ln>
        </c:spPr>
        <c:txPr>
          <a:bodyPr vert="horz" rot="0"/>
          <a:lstStyle/>
          <a:p>
            <a:pPr>
              <a:defRPr lang="en-US" cap="none" sz="800" b="0" i="0" u="none" baseline="0">
                <a:solidFill>
                  <a:srgbClr val="000080"/>
                </a:solidFill>
              </a:defRPr>
            </a:pPr>
          </a:p>
        </c:txPr>
        <c:crossAx val="56409279"/>
        <c:crossesAt val="1"/>
        <c:crossBetween val="between"/>
        <c:dispUnits/>
      </c:valAx>
      <c:catAx>
        <c:axId val="5748857"/>
        <c:scaling>
          <c:orientation val="minMax"/>
        </c:scaling>
        <c:axPos val="b"/>
        <c:delete val="1"/>
        <c:majorTickMark val="out"/>
        <c:minorTickMark val="none"/>
        <c:tickLblPos val="nextTo"/>
        <c:crossAx val="51739714"/>
        <c:crosses val="autoZero"/>
        <c:auto val="1"/>
        <c:lblOffset val="100"/>
        <c:tickLblSkip val="1"/>
        <c:noMultiLvlLbl val="0"/>
      </c:catAx>
      <c:valAx>
        <c:axId val="51739714"/>
        <c:scaling>
          <c:orientation val="minMax"/>
        </c:scaling>
        <c:axPos val="l"/>
        <c:delete val="0"/>
        <c:numFmt formatCode="#,##0" sourceLinked="0"/>
        <c:majorTickMark val="cross"/>
        <c:minorTickMark val="none"/>
        <c:tickLblPos val="nextTo"/>
        <c:spPr>
          <a:ln w="3175">
            <a:solidFill>
              <a:srgbClr val="FF0000"/>
            </a:solidFill>
          </a:ln>
        </c:spPr>
        <c:txPr>
          <a:bodyPr vert="horz" rot="0"/>
          <a:lstStyle/>
          <a:p>
            <a:pPr>
              <a:defRPr lang="en-US" cap="none" sz="800" b="0" i="0" u="none" baseline="0">
                <a:solidFill>
                  <a:srgbClr val="FF0000"/>
                </a:solidFill>
              </a:defRPr>
            </a:pPr>
          </a:p>
        </c:txPr>
        <c:crossAx val="5748857"/>
        <c:crosses val="max"/>
        <c:crossBetween val="between"/>
        <c:dispUnits/>
      </c:valAx>
      <c:spPr>
        <a:noFill/>
        <a:ln>
          <a:noFill/>
        </a:ln>
      </c:spPr>
    </c:plotArea>
    <c:legend>
      <c:legendPos val="r"/>
      <c:layout>
        <c:manualLayout>
          <c:xMode val="edge"/>
          <c:yMode val="edge"/>
          <c:x val="0.2925"/>
          <c:y val="0"/>
          <c:w val="0.434"/>
          <c:h val="0.202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133350</xdr:colOff>
      <xdr:row>1</xdr:row>
      <xdr:rowOff>28575</xdr:rowOff>
    </xdr:from>
    <xdr:ext cx="2486025" cy="3381375"/>
    <xdr:sp>
      <xdr:nvSpPr>
        <xdr:cNvPr id="1" name="AutoShape 27"/>
        <xdr:cNvSpPr>
          <a:spLocks/>
        </xdr:cNvSpPr>
      </xdr:nvSpPr>
      <xdr:spPr>
        <a:xfrm>
          <a:off x="5343525" y="257175"/>
          <a:ext cx="2486025" cy="3381375"/>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ahoma"/>
              <a:ea typeface="Tahoma"/>
              <a:cs typeface="Tahoma"/>
            </a:rPr>
            <a:t>This worksheet provides a break-down of the sales cost, charges, fees, and taxes associated with buying a car from a dealer. Many of the values will need to be estimated, and you may need to consult the policies of your state to determine how sales tax is applied and what the registration and other fees are.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At the bottom of the Download page at Vertex42.com you will find numerous links to online calculators and resources that may help you complete this worksheet.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To make comparisons, you can make multiple copies of Column D (select column D and press Ctrl+c, then right-click on column E and select Insert Copied Cells)</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161925</xdr:colOff>
      <xdr:row>0</xdr:row>
      <xdr:rowOff>123825</xdr:rowOff>
    </xdr:from>
    <xdr:ext cx="1943100" cy="3009900"/>
    <xdr:sp>
      <xdr:nvSpPr>
        <xdr:cNvPr id="1" name="AutoShape 10"/>
        <xdr:cNvSpPr>
          <a:spLocks/>
        </xdr:cNvSpPr>
      </xdr:nvSpPr>
      <xdr:spPr>
        <a:xfrm>
          <a:off x="5657850" y="123825"/>
          <a:ext cx="1943100" cy="300990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ahoma"/>
              <a:ea typeface="Tahoma"/>
              <a:cs typeface="Tahoma"/>
            </a:rPr>
            <a:t>This spreadsheet creates a payment schedule for a fixed-rate auto loan, with optional extra payments. Use the spreadsheet to compare different terms, rates, and loan amounts. The spreadsheet allows complete flexibility in how you make additional payments.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Use the </a:t>
          </a:r>
          <a:r>
            <a:rPr lang="en-US" cap="none" sz="1000" b="1" i="0" u="none" baseline="0">
              <a:solidFill>
                <a:srgbClr val="000000"/>
              </a:solidFill>
              <a:latin typeface="Tahoma"/>
              <a:ea typeface="Tahoma"/>
              <a:cs typeface="Tahoma"/>
            </a:rPr>
            <a:t>AutoLoanCalculator</a:t>
          </a:r>
          <a:r>
            <a:rPr lang="en-US" cap="none" sz="1000" b="0" i="0" u="none" baseline="0">
              <a:solidFill>
                <a:srgbClr val="000000"/>
              </a:solidFill>
              <a:latin typeface="Tahoma"/>
              <a:ea typeface="Tahoma"/>
              <a:cs typeface="Tahoma"/>
            </a:rPr>
            <a:t> worksheet to figure out the </a:t>
          </a:r>
          <a:r>
            <a:rPr lang="en-US" cap="none" sz="1000" b="1" i="0" u="none" baseline="0">
              <a:solidFill>
                <a:srgbClr val="000000"/>
              </a:solidFill>
              <a:latin typeface="Tahoma"/>
              <a:ea typeface="Tahoma"/>
              <a:cs typeface="Tahoma"/>
            </a:rPr>
            <a:t>Auto Loan Amount</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The payment is rounded to the nearest cent. The last payment is adjusted to bring the balance to zero.</a:t>
          </a:r>
        </a:p>
      </xdr:txBody>
    </xdr:sp>
    <xdr:clientData fPrintsWithSheet="0"/>
  </xdr:oneCellAnchor>
  <xdr:twoCellAnchor>
    <xdr:from>
      <xdr:col>4</xdr:col>
      <xdr:colOff>123825</xdr:colOff>
      <xdr:row>9</xdr:row>
      <xdr:rowOff>57150</xdr:rowOff>
    </xdr:from>
    <xdr:to>
      <xdr:col>7</xdr:col>
      <xdr:colOff>0</xdr:colOff>
      <xdr:row>16</xdr:row>
      <xdr:rowOff>104775</xdr:rowOff>
    </xdr:to>
    <xdr:graphicFrame>
      <xdr:nvGraphicFramePr>
        <xdr:cNvPr id="2" name="Chart 1502"/>
        <xdr:cNvGraphicFramePr/>
      </xdr:nvGraphicFramePr>
      <xdr:xfrm>
        <a:off x="2914650" y="1752600"/>
        <a:ext cx="2457450" cy="1352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142875</xdr:colOff>
      <xdr:row>20</xdr:row>
      <xdr:rowOff>95250</xdr:rowOff>
    </xdr:from>
    <xdr:ext cx="3057525" cy="2266950"/>
    <xdr:graphicFrame>
      <xdr:nvGraphicFramePr>
        <xdr:cNvPr id="1" name="Chart 24"/>
        <xdr:cNvGraphicFramePr/>
      </xdr:nvGraphicFramePr>
      <xdr:xfrm>
        <a:off x="3209925" y="3724275"/>
        <a:ext cx="3057525" cy="2266950"/>
      </xdr:xfrm>
      <a:graphic>
        <a:graphicData uri="http://schemas.openxmlformats.org/drawingml/2006/chart">
          <c:chart xmlns:c="http://schemas.openxmlformats.org/drawingml/2006/chart" r:id="rId1"/>
        </a:graphicData>
      </a:graphic>
    </xdr:graphicFrame>
    <xdr:clientData/>
  </xdr:oneCellAnchor>
  <xdr:oneCellAnchor>
    <xdr:from>
      <xdr:col>4</xdr:col>
      <xdr:colOff>142875</xdr:colOff>
      <xdr:row>35</xdr:row>
      <xdr:rowOff>57150</xdr:rowOff>
    </xdr:from>
    <xdr:ext cx="3057525" cy="1933575"/>
    <xdr:graphicFrame>
      <xdr:nvGraphicFramePr>
        <xdr:cNvPr id="2" name="Chart 25"/>
        <xdr:cNvGraphicFramePr/>
      </xdr:nvGraphicFramePr>
      <xdr:xfrm>
        <a:off x="3209925" y="6276975"/>
        <a:ext cx="3057525" cy="1933575"/>
      </xdr:xfrm>
      <a:graphic>
        <a:graphicData uri="http://schemas.openxmlformats.org/drawingml/2006/chart">
          <c:chart xmlns:c="http://schemas.openxmlformats.org/drawingml/2006/chart" r:id="rId2"/>
        </a:graphicData>
      </a:graphic>
    </xdr:graphicFrame>
    <xdr:clientData/>
  </xdr:oneCellAnchor>
  <xdr:oneCellAnchor>
    <xdr:from>
      <xdr:col>0</xdr:col>
      <xdr:colOff>66675</xdr:colOff>
      <xdr:row>2</xdr:row>
      <xdr:rowOff>95250</xdr:rowOff>
    </xdr:from>
    <xdr:ext cx="2533650" cy="819150"/>
    <xdr:sp>
      <xdr:nvSpPr>
        <xdr:cNvPr id="3" name="AutoShape 26"/>
        <xdr:cNvSpPr>
          <a:spLocks/>
        </xdr:cNvSpPr>
      </xdr:nvSpPr>
      <xdr:spPr>
        <a:xfrm>
          <a:off x="66675" y="485775"/>
          <a:ext cx="2533650" cy="819150"/>
        </a:xfrm>
        <a:prstGeom prst="roundRect">
          <a:avLst/>
        </a:prstGeom>
        <a:solidFill>
          <a:srgbClr val="FFFFFF"/>
        </a:solidFill>
        <a:ln w="9525" cmpd="sng">
          <a:solidFill>
            <a:srgbClr val="000000"/>
          </a:solidFill>
          <a:headEnd type="none"/>
          <a:tailEnd type="none"/>
        </a:ln>
      </xdr:spPr>
      <xdr:txBody>
        <a:bodyPr vertOverflow="clip" wrap="square" lIns="45720" tIns="45720" rIns="45720" bIns="45720"/>
        <a:p>
          <a:pPr algn="l">
            <a:defRPr/>
          </a:pPr>
          <a:r>
            <a:rPr lang="en-US" cap="none" sz="800" b="0" i="0" u="none" baseline="0">
              <a:solidFill>
                <a:srgbClr val="000000"/>
              </a:solidFill>
              <a:latin typeface="Tahoma"/>
              <a:ea typeface="Tahoma"/>
              <a:cs typeface="Tahoma"/>
            </a:rPr>
            <a:t>Unless otherwise indicated, the comparison tables are based on the </a:t>
          </a:r>
          <a:r>
            <a:rPr lang="en-US" cap="none" sz="800" b="0" i="1" u="none" baseline="0">
              <a:solidFill>
                <a:srgbClr val="000000"/>
              </a:solidFill>
              <a:latin typeface="Tahoma"/>
              <a:ea typeface="Tahoma"/>
              <a:cs typeface="Tahoma"/>
            </a:rPr>
            <a:t>Loan Amount</a:t>
          </a:r>
          <a:r>
            <a:rPr lang="en-US" cap="none" sz="800" b="0" i="0" u="none" baseline="0">
              <a:solidFill>
                <a:srgbClr val="000000"/>
              </a:solidFill>
              <a:latin typeface="Tahoma"/>
              <a:ea typeface="Tahoma"/>
              <a:cs typeface="Tahoma"/>
            </a:rPr>
            <a:t>, </a:t>
          </a:r>
          <a:r>
            <a:rPr lang="en-US" cap="none" sz="800" b="0" i="1" u="none" baseline="0">
              <a:solidFill>
                <a:srgbClr val="000000"/>
              </a:solidFill>
              <a:latin typeface="Tahoma"/>
              <a:ea typeface="Tahoma"/>
              <a:cs typeface="Tahoma"/>
            </a:rPr>
            <a:t>Interest Rate</a:t>
          </a:r>
          <a:r>
            <a:rPr lang="en-US" cap="none" sz="800" b="0" i="0" u="none" baseline="0">
              <a:solidFill>
                <a:srgbClr val="000000"/>
              </a:solidFill>
              <a:latin typeface="Tahoma"/>
              <a:ea typeface="Tahoma"/>
              <a:cs typeface="Tahoma"/>
            </a:rPr>
            <a:t>, </a:t>
          </a:r>
          <a:r>
            <a:rPr lang="en-US" cap="none" sz="800" b="0" i="1" u="none" baseline="0">
              <a:solidFill>
                <a:srgbClr val="000000"/>
              </a:solidFill>
              <a:latin typeface="Tahoma"/>
              <a:ea typeface="Tahoma"/>
              <a:cs typeface="Tahoma"/>
            </a:rPr>
            <a:t>Term</a:t>
          </a:r>
          <a:r>
            <a:rPr lang="en-US" cap="none" sz="800" b="0" i="0" u="none" baseline="0">
              <a:solidFill>
                <a:srgbClr val="000000"/>
              </a:solidFill>
              <a:latin typeface="Tahoma"/>
              <a:ea typeface="Tahoma"/>
              <a:cs typeface="Tahoma"/>
            </a:rPr>
            <a:t>, and </a:t>
          </a:r>
          <a:r>
            <a:rPr lang="en-US" cap="none" sz="800" b="0" i="1" u="none" baseline="0">
              <a:solidFill>
                <a:srgbClr val="000000"/>
              </a:solidFill>
              <a:latin typeface="Tahoma"/>
              <a:ea typeface="Tahoma"/>
              <a:cs typeface="Tahoma"/>
            </a:rPr>
            <a:t>Frequency</a:t>
          </a:r>
          <a:r>
            <a:rPr lang="en-US" cap="none" sz="800" b="0" i="0" u="none" baseline="0">
              <a:solidFill>
                <a:srgbClr val="000000"/>
              </a:solidFill>
              <a:latin typeface="Tahoma"/>
              <a:ea typeface="Tahoma"/>
              <a:cs typeface="Tahoma"/>
            </a:rPr>
            <a:t> listed to the right. These values can be changed in the </a:t>
          </a:r>
          <a:r>
            <a:rPr lang="en-US" cap="none" sz="800" b="1" i="0" u="none" baseline="0">
              <a:solidFill>
                <a:srgbClr val="000000"/>
              </a:solidFill>
              <a:latin typeface="Tahoma"/>
              <a:ea typeface="Tahoma"/>
              <a:cs typeface="Tahoma"/>
            </a:rPr>
            <a:t>PaymentCalculator</a:t>
          </a:r>
          <a:r>
            <a:rPr lang="en-US" cap="none" sz="800" b="0" i="0" u="none" baseline="0">
              <a:solidFill>
                <a:srgbClr val="000000"/>
              </a:solidFill>
              <a:latin typeface="Tahoma"/>
              <a:ea typeface="Tahoma"/>
              <a:cs typeface="Tahoma"/>
            </a:rPr>
            <a:t> worksheet.</a:t>
          </a:r>
        </a:p>
      </xdr:txBody>
    </xdr:sp>
    <xdr:clientData/>
  </xdr:oneCellAnchor>
  <xdr:oneCellAnchor>
    <xdr:from>
      <xdr:col>4</xdr:col>
      <xdr:colOff>142875</xdr:colOff>
      <xdr:row>8</xdr:row>
      <xdr:rowOff>66675</xdr:rowOff>
    </xdr:from>
    <xdr:ext cx="3067050" cy="2200275"/>
    <xdr:graphicFrame>
      <xdr:nvGraphicFramePr>
        <xdr:cNvPr id="4" name="Chart 27"/>
        <xdr:cNvGraphicFramePr/>
      </xdr:nvGraphicFramePr>
      <xdr:xfrm>
        <a:off x="3209925" y="1428750"/>
        <a:ext cx="3067050" cy="2200275"/>
      </xdr:xfrm>
      <a:graphic>
        <a:graphicData uri="http://schemas.openxmlformats.org/drawingml/2006/chart">
          <c:chart xmlns:c="http://schemas.openxmlformats.org/drawingml/2006/chart" r:id="rId3"/>
        </a:graphicData>
      </a:graphic>
    </xdr:graphicFrame>
    <xdr:clientData/>
  </xdr:oneCellAnchor>
  <xdr:oneCellAnchor>
    <xdr:from>
      <xdr:col>4</xdr:col>
      <xdr:colOff>142875</xdr:colOff>
      <xdr:row>48</xdr:row>
      <xdr:rowOff>19050</xdr:rowOff>
    </xdr:from>
    <xdr:ext cx="3048000" cy="1933575"/>
    <xdr:graphicFrame>
      <xdr:nvGraphicFramePr>
        <xdr:cNvPr id="5" name="Chart 28"/>
        <xdr:cNvGraphicFramePr/>
      </xdr:nvGraphicFramePr>
      <xdr:xfrm>
        <a:off x="3209925" y="8505825"/>
        <a:ext cx="3048000" cy="1933575"/>
      </xdr:xfrm>
      <a:graphic>
        <a:graphicData uri="http://schemas.openxmlformats.org/drawingml/2006/chart">
          <c:chart xmlns:c="http://schemas.openxmlformats.org/drawingml/2006/chart" r:id="rId4"/>
        </a:graphicData>
      </a:graphic>
    </xdr:graphicFrame>
    <xdr:clientData/>
  </xdr:oneCellAnchor>
  <xdr:oneCellAnchor>
    <xdr:from>
      <xdr:col>6</xdr:col>
      <xdr:colOff>114300</xdr:colOff>
      <xdr:row>2</xdr:row>
      <xdr:rowOff>104775</xdr:rowOff>
    </xdr:from>
    <xdr:ext cx="1228725" cy="790575"/>
    <xdr:sp>
      <xdr:nvSpPr>
        <xdr:cNvPr id="6" name="AutoShape 29"/>
        <xdr:cNvSpPr>
          <a:spLocks/>
        </xdr:cNvSpPr>
      </xdr:nvSpPr>
      <xdr:spPr>
        <a:xfrm>
          <a:off x="5076825" y="495300"/>
          <a:ext cx="1228725" cy="790575"/>
        </a:xfrm>
        <a:prstGeom prst="roundRect">
          <a:avLst/>
        </a:prstGeom>
        <a:solidFill>
          <a:srgbClr val="FFFFFF"/>
        </a:solidFill>
        <a:ln w="9525" cmpd="sng">
          <a:solidFill>
            <a:srgbClr val="000000"/>
          </a:solidFill>
          <a:headEnd type="none"/>
          <a:tailEnd type="none"/>
        </a:ln>
      </xdr:spPr>
      <xdr:txBody>
        <a:bodyPr vertOverflow="clip" wrap="square" lIns="45720" tIns="45720" rIns="45720" bIns="45720"/>
        <a:p>
          <a:pPr algn="l">
            <a:defRPr/>
          </a:pPr>
          <a:r>
            <a:rPr lang="en-US" cap="none" sz="800" b="0" i="0" u="none" baseline="0">
              <a:solidFill>
                <a:srgbClr val="000000"/>
              </a:solidFill>
              <a:latin typeface="Tahoma"/>
              <a:ea typeface="Tahoma"/>
              <a:cs typeface="Tahoma"/>
            </a:rPr>
            <a:t>The calculations in this worksheet assume that </a:t>
          </a:r>
          <a:r>
            <a:rPr lang="en-US" cap="none" sz="800" b="1" i="0" u="none" baseline="0">
              <a:solidFill>
                <a:srgbClr val="000000"/>
              </a:solidFill>
              <a:latin typeface="Tahoma"/>
              <a:ea typeface="Tahoma"/>
              <a:cs typeface="Tahoma"/>
            </a:rPr>
            <a:t>no extra payments</a:t>
          </a:r>
          <a:r>
            <a:rPr lang="en-US" cap="none" sz="800" b="0" i="0" u="none" baseline="0">
              <a:solidFill>
                <a:srgbClr val="000000"/>
              </a:solidFill>
              <a:latin typeface="Tahoma"/>
              <a:ea typeface="Tahoma"/>
              <a:cs typeface="Tahoma"/>
            </a:rPr>
            <a:t> are made.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terms.html" TargetMode="External" /><Relationship Id="rId2" Type="http://schemas.openxmlformats.org/officeDocument/2006/relationships/hyperlink" Target="http://www.vertex42.com/ExcelTemplates/auto-loan-calculator.html" TargetMode="External" /><Relationship Id="rId3" Type="http://schemas.openxmlformats.org/officeDocument/2006/relationships/hyperlink" Target="http://www.ftc.gov/bcp/conline/pubs/autos/autoserv.shtm"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terms.html" TargetMode="External" /><Relationship Id="rId2" Type="http://schemas.openxmlformats.org/officeDocument/2006/relationships/hyperlink" Target="http://www.vertex42.com/ExcelTemplates/auto-loan-calculator.html"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terms.html" TargetMode="External" /><Relationship Id="rId2" Type="http://schemas.openxmlformats.org/officeDocument/2006/relationships/hyperlink" Target="http://www.vertex42.com/ExcelTemplates/auto-loan-calculator.html" TargetMode="External" /><Relationship Id="rId3" Type="http://schemas.openxmlformats.org/officeDocument/2006/relationships/comments" Target="../comments3.xml" /><Relationship Id="rId4" Type="http://schemas.openxmlformats.org/officeDocument/2006/relationships/vmlDrawing" Target="../drawings/vmlDrawing3.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1"/>
  </sheetPr>
  <dimension ref="A1:H39"/>
  <sheetViews>
    <sheetView showGridLines="0" tabSelected="1" zoomScalePageLayoutView="0" workbookViewId="0" topLeftCell="A1">
      <selection activeCell="A1" sqref="A1"/>
    </sheetView>
  </sheetViews>
  <sheetFormatPr defaultColWidth="9.140625" defaultRowHeight="12.75"/>
  <cols>
    <col min="1" max="1" width="8.140625" style="0" customWidth="1"/>
    <col min="2" max="2" width="15.140625" style="0" customWidth="1"/>
    <col min="3" max="3" width="16.57421875" style="0" customWidth="1"/>
    <col min="4" max="4" width="13.8515625" style="0" customWidth="1"/>
    <col min="5" max="5" width="15.28125" style="0" customWidth="1"/>
  </cols>
  <sheetData>
    <row r="1" spans="1:6" s="2" customFormat="1" ht="18">
      <c r="A1" s="11" t="s">
        <v>72</v>
      </c>
      <c r="B1" s="12"/>
      <c r="C1" s="12"/>
      <c r="D1" s="12"/>
      <c r="E1" s="13" t="s">
        <v>77</v>
      </c>
      <c r="F1" s="17" t="s">
        <v>27</v>
      </c>
    </row>
    <row r="2" spans="1:6" s="2" customFormat="1" ht="12.75">
      <c r="A2" s="25" t="s">
        <v>25</v>
      </c>
      <c r="B2" s="21"/>
      <c r="C2" s="21"/>
      <c r="D2" s="21"/>
      <c r="E2" s="21"/>
      <c r="F2" s="21"/>
    </row>
    <row r="3" spans="1:8" s="2" customFormat="1" ht="12.75">
      <c r="A3" s="26"/>
      <c r="B3" s="21"/>
      <c r="C3" s="21"/>
      <c r="D3" s="21"/>
      <c r="E3" s="21"/>
      <c r="F3" s="52"/>
      <c r="H3"/>
    </row>
    <row r="4" spans="1:6" ht="12.75">
      <c r="A4" s="52"/>
      <c r="B4" s="62" t="s">
        <v>76</v>
      </c>
      <c r="C4" s="62"/>
      <c r="D4" s="62"/>
      <c r="E4" s="52"/>
      <c r="F4" s="52"/>
    </row>
    <row r="5" spans="1:6" ht="12.75">
      <c r="A5" s="52"/>
      <c r="B5" s="21"/>
      <c r="C5" s="29" t="s">
        <v>38</v>
      </c>
      <c r="D5" s="45">
        <v>20000</v>
      </c>
      <c r="E5" s="52"/>
      <c r="F5" s="52"/>
    </row>
    <row r="6" spans="1:6" ht="12.75">
      <c r="A6" s="52"/>
      <c r="B6" s="21"/>
      <c r="C6" s="29" t="s">
        <v>51</v>
      </c>
      <c r="D6" s="33">
        <v>0</v>
      </c>
      <c r="E6" s="53" t="s">
        <v>65</v>
      </c>
      <c r="F6" s="52"/>
    </row>
    <row r="7" spans="1:6" ht="12.75">
      <c r="A7" s="52"/>
      <c r="B7" s="21"/>
      <c r="C7" s="29" t="s">
        <v>35</v>
      </c>
      <c r="D7" s="33">
        <v>0</v>
      </c>
      <c r="E7" s="54" t="s">
        <v>66</v>
      </c>
      <c r="F7" s="52"/>
    </row>
    <row r="8" spans="1:6" ht="12.75">
      <c r="A8" s="52"/>
      <c r="B8" s="21"/>
      <c r="C8" s="29" t="s">
        <v>36</v>
      </c>
      <c r="D8" s="33">
        <v>0</v>
      </c>
      <c r="E8" s="52"/>
      <c r="F8" s="52"/>
    </row>
    <row r="9" spans="1:6" ht="12.75">
      <c r="A9" s="52"/>
      <c r="B9" s="21"/>
      <c r="C9" s="55" t="s">
        <v>34</v>
      </c>
      <c r="D9" s="56">
        <f>SUM(D5:D8)</f>
        <v>20000</v>
      </c>
      <c r="E9" s="52"/>
      <c r="F9" s="52"/>
    </row>
    <row r="10" spans="1:6" ht="12.75">
      <c r="A10" s="52"/>
      <c r="B10" s="21"/>
      <c r="C10" s="52"/>
      <c r="D10" s="52"/>
      <c r="E10" s="52"/>
      <c r="F10" s="52"/>
    </row>
    <row r="11" spans="1:6" ht="12.75">
      <c r="A11" s="52"/>
      <c r="B11" s="62" t="s">
        <v>42</v>
      </c>
      <c r="C11" s="62"/>
      <c r="D11" s="62"/>
      <c r="E11" s="52"/>
      <c r="F11" s="52"/>
    </row>
    <row r="12" spans="1:6" ht="12.75">
      <c r="A12" s="52"/>
      <c r="B12" s="52"/>
      <c r="C12" s="27" t="s">
        <v>40</v>
      </c>
      <c r="D12" s="45" t="b">
        <v>0</v>
      </c>
      <c r="E12" s="53" t="s">
        <v>62</v>
      </c>
      <c r="F12" s="52"/>
    </row>
    <row r="13" spans="1:6" ht="12.75">
      <c r="A13" s="52"/>
      <c r="B13" s="52"/>
      <c r="C13" s="27" t="s">
        <v>54</v>
      </c>
      <c r="D13" s="33" t="b">
        <v>0</v>
      </c>
      <c r="E13" s="53" t="s">
        <v>62</v>
      </c>
      <c r="F13" s="52"/>
    </row>
    <row r="14" spans="1:6" ht="12.75">
      <c r="A14" s="52"/>
      <c r="B14" s="52"/>
      <c r="C14" s="29" t="s">
        <v>39</v>
      </c>
      <c r="D14" s="34">
        <v>0.0625</v>
      </c>
      <c r="E14" s="54" t="s">
        <v>70</v>
      </c>
      <c r="F14" s="52"/>
    </row>
    <row r="15" spans="1:6" ht="12.75">
      <c r="A15" s="52"/>
      <c r="B15" s="52"/>
      <c r="C15" s="27" t="s">
        <v>41</v>
      </c>
      <c r="D15" s="57">
        <f>IF(D12,IF(D13,D9-D35-D36,D9-D35),IF(D13,D9-D36,D9))</f>
        <v>20000</v>
      </c>
      <c r="E15" s="52"/>
      <c r="F15" s="52"/>
    </row>
    <row r="16" spans="1:6" ht="12.75">
      <c r="A16" s="52"/>
      <c r="B16" s="52"/>
      <c r="C16" s="55" t="s">
        <v>43</v>
      </c>
      <c r="D16" s="58">
        <f>D14*D15</f>
        <v>1250</v>
      </c>
      <c r="E16" s="52"/>
      <c r="F16" s="52"/>
    </row>
    <row r="17" spans="1:6" ht="12.75">
      <c r="A17" s="52"/>
      <c r="B17" s="52"/>
      <c r="C17" s="52"/>
      <c r="D17" s="52"/>
      <c r="E17" s="52"/>
      <c r="F17" s="52"/>
    </row>
    <row r="18" spans="1:6" ht="12.75">
      <c r="A18" s="52"/>
      <c r="B18" s="62" t="s">
        <v>37</v>
      </c>
      <c r="C18" s="62"/>
      <c r="D18" s="62"/>
      <c r="E18" s="52"/>
      <c r="F18" s="52"/>
    </row>
    <row r="19" spans="1:6" ht="12.75">
      <c r="A19" s="52"/>
      <c r="B19" s="52"/>
      <c r="C19" s="29" t="s">
        <v>45</v>
      </c>
      <c r="D19" s="45">
        <v>40</v>
      </c>
      <c r="E19" s="54" t="s">
        <v>61</v>
      </c>
      <c r="F19" s="52"/>
    </row>
    <row r="20" spans="1:6" ht="12.75">
      <c r="A20" s="52"/>
      <c r="B20" s="52"/>
      <c r="C20" s="27" t="s">
        <v>63</v>
      </c>
      <c r="D20" s="33">
        <v>0</v>
      </c>
      <c r="E20" s="54" t="s">
        <v>64</v>
      </c>
      <c r="F20" s="52"/>
    </row>
    <row r="21" spans="1:6" ht="12.75">
      <c r="A21" s="52"/>
      <c r="B21" s="52"/>
      <c r="C21" s="27" t="s">
        <v>67</v>
      </c>
      <c r="D21" s="33">
        <v>0</v>
      </c>
      <c r="E21" s="54" t="s">
        <v>69</v>
      </c>
      <c r="F21" s="59" t="s">
        <v>68</v>
      </c>
    </row>
    <row r="22" spans="1:6" ht="12.75">
      <c r="A22" s="52"/>
      <c r="B22" s="52"/>
      <c r="C22" s="27" t="s">
        <v>48</v>
      </c>
      <c r="D22" s="33">
        <v>0</v>
      </c>
      <c r="E22" s="54" t="s">
        <v>58</v>
      </c>
      <c r="F22" s="52"/>
    </row>
    <row r="23" spans="1:6" ht="12.75">
      <c r="A23" s="52"/>
      <c r="B23" s="52"/>
      <c r="C23" s="27" t="s">
        <v>49</v>
      </c>
      <c r="D23" s="33">
        <v>3</v>
      </c>
      <c r="E23" s="54" t="s">
        <v>59</v>
      </c>
      <c r="F23" s="52"/>
    </row>
    <row r="24" spans="1:6" ht="12.75">
      <c r="A24" s="52"/>
      <c r="B24" s="52"/>
      <c r="C24" s="27" t="s">
        <v>47</v>
      </c>
      <c r="D24" s="33">
        <v>3</v>
      </c>
      <c r="E24" s="54" t="s">
        <v>59</v>
      </c>
      <c r="F24" s="52"/>
    </row>
    <row r="25" spans="1:6" ht="12.75">
      <c r="A25" s="52"/>
      <c r="B25" s="52"/>
      <c r="C25" s="27" t="s">
        <v>57</v>
      </c>
      <c r="D25" s="33">
        <v>0</v>
      </c>
      <c r="E25" s="54" t="s">
        <v>60</v>
      </c>
      <c r="F25" s="52"/>
    </row>
    <row r="26" spans="1:6" ht="12.75">
      <c r="A26" s="52"/>
      <c r="B26" s="52"/>
      <c r="C26" s="27" t="s">
        <v>46</v>
      </c>
      <c r="D26" s="33">
        <v>0</v>
      </c>
      <c r="E26" s="54" t="s">
        <v>58</v>
      </c>
      <c r="F26" s="52"/>
    </row>
    <row r="27" spans="1:6" ht="12.75">
      <c r="A27" s="52"/>
      <c r="B27" s="52"/>
      <c r="C27" s="29" t="s">
        <v>44</v>
      </c>
      <c r="D27" s="33">
        <v>0</v>
      </c>
      <c r="E27" s="52"/>
      <c r="F27" s="52"/>
    </row>
    <row r="28" spans="1:6" ht="12.75">
      <c r="A28" s="52"/>
      <c r="B28" s="52"/>
      <c r="C28" s="55" t="s">
        <v>50</v>
      </c>
      <c r="D28" s="56">
        <f>SUM(D19:D27)</f>
        <v>46</v>
      </c>
      <c r="E28" s="52"/>
      <c r="F28" s="52"/>
    </row>
    <row r="29" spans="1:6" ht="12.75">
      <c r="A29" s="52"/>
      <c r="B29" s="52"/>
      <c r="C29" s="27"/>
      <c r="D29" s="52"/>
      <c r="E29" s="52"/>
      <c r="F29" s="52"/>
    </row>
    <row r="30" spans="1:6" ht="12.75">
      <c r="A30" s="52"/>
      <c r="B30" s="62" t="s">
        <v>74</v>
      </c>
      <c r="C30" s="62"/>
      <c r="D30" s="62"/>
      <c r="E30" s="52"/>
      <c r="F30" s="52"/>
    </row>
    <row r="31" spans="1:6" ht="12.75">
      <c r="A31" s="52"/>
      <c r="B31" s="52"/>
      <c r="C31" s="52"/>
      <c r="D31" s="52"/>
      <c r="E31" s="52"/>
      <c r="F31" s="52"/>
    </row>
    <row r="32" spans="1:6" ht="12.75">
      <c r="A32" s="52"/>
      <c r="B32" s="52"/>
      <c r="C32" s="29" t="s">
        <v>56</v>
      </c>
      <c r="D32" s="33">
        <v>0</v>
      </c>
      <c r="E32" s="52"/>
      <c r="F32" s="52"/>
    </row>
    <row r="33" spans="1:6" ht="12.75">
      <c r="A33" s="52"/>
      <c r="B33" s="52"/>
      <c r="C33" s="52"/>
      <c r="D33" s="52"/>
      <c r="E33" s="52"/>
      <c r="F33" s="52"/>
    </row>
    <row r="34" spans="1:6" ht="12.75">
      <c r="A34" s="52"/>
      <c r="B34" s="52"/>
      <c r="C34" s="60" t="s">
        <v>53</v>
      </c>
      <c r="D34" s="33">
        <v>0</v>
      </c>
      <c r="E34" s="52"/>
      <c r="F34" s="52"/>
    </row>
    <row r="35" spans="1:6" ht="12.75">
      <c r="A35" s="52"/>
      <c r="B35" s="21"/>
      <c r="C35" s="60" t="s">
        <v>55</v>
      </c>
      <c r="D35" s="33">
        <v>0</v>
      </c>
      <c r="E35" s="52"/>
      <c r="F35" s="52"/>
    </row>
    <row r="36" spans="1:6" ht="12.75">
      <c r="A36" s="52"/>
      <c r="B36" s="21"/>
      <c r="C36" s="60" t="s">
        <v>52</v>
      </c>
      <c r="D36" s="33">
        <v>0</v>
      </c>
      <c r="E36" s="52"/>
      <c r="F36" s="52"/>
    </row>
    <row r="37" spans="1:6" ht="12.75">
      <c r="A37" s="52"/>
      <c r="B37" s="52"/>
      <c r="C37" s="52"/>
      <c r="D37" s="52"/>
      <c r="E37" s="52"/>
      <c r="F37" s="52"/>
    </row>
    <row r="38" spans="1:6" ht="12.75">
      <c r="A38" s="52"/>
      <c r="B38" s="52"/>
      <c r="C38" s="61" t="s">
        <v>73</v>
      </c>
      <c r="D38" s="63">
        <f>(D28+D16+D9+D32)-D35-D36-D34</f>
        <v>21296</v>
      </c>
      <c r="E38" s="52"/>
      <c r="F38" s="52"/>
    </row>
    <row r="39" spans="1:6" ht="12.75">
      <c r="A39" s="52"/>
      <c r="B39" s="52"/>
      <c r="C39" s="52"/>
      <c r="D39" s="52"/>
      <c r="E39" s="52"/>
      <c r="F39" s="52"/>
    </row>
  </sheetData>
  <sheetProtection/>
  <dataValidations count="1">
    <dataValidation type="list" allowBlank="1" showInputMessage="1" showErrorMessage="1" sqref="D12:D13">
      <formula1>"TRUE,FALSE"</formula1>
    </dataValidation>
  </dataValidations>
  <hyperlinks>
    <hyperlink ref="E1" r:id="rId1" display="© 2004 Vertex42, LLC"/>
    <hyperlink ref="A2" r:id="rId2" tooltip="Visit Vertex42.com - The Excel Nexus" display="Download from Vertex42.com"/>
    <hyperlink ref="F21" r:id="rId3" display="Read This"/>
  </hyperlinks>
  <printOptions/>
  <pageMargins left="0.75" right="0.75" top="1" bottom="1" header="0.5" footer="0.5"/>
  <pageSetup horizontalDpi="600" verticalDpi="600" orientation="portrait" r:id="rId7"/>
  <headerFooter alignWithMargins="0">
    <oddFooter>&amp;L&amp;8http://www.vertex42.com/Calculators/auto-loan-calculator.html</oddFooter>
  </headerFooter>
  <drawing r:id="rId6"/>
  <legacyDrawing r:id="rId5"/>
</worksheet>
</file>

<file path=xl/worksheets/sheet2.xml><?xml version="1.0" encoding="utf-8"?>
<worksheet xmlns="http://schemas.openxmlformats.org/spreadsheetml/2006/main" xmlns:r="http://schemas.openxmlformats.org/officeDocument/2006/relationships">
  <sheetPr>
    <tabColor indexed="47"/>
  </sheetPr>
  <dimension ref="A1:M177"/>
  <sheetViews>
    <sheetView showGridLines="0" zoomScalePageLayoutView="0" workbookViewId="0" topLeftCell="A1">
      <selection activeCell="A1" sqref="A1"/>
    </sheetView>
  </sheetViews>
  <sheetFormatPr defaultColWidth="9.140625" defaultRowHeight="12.75"/>
  <cols>
    <col min="1" max="1" width="5.7109375" style="2" customWidth="1"/>
    <col min="2" max="2" width="10.8515625" style="2" customWidth="1"/>
    <col min="3" max="3" width="11.140625" style="2" customWidth="1"/>
    <col min="4" max="4" width="14.140625" style="2" customWidth="1"/>
    <col min="5" max="5" width="11.28125" style="2" customWidth="1"/>
    <col min="6" max="6" width="14.421875" style="2" customWidth="1"/>
    <col min="7" max="7" width="13.00390625" style="2" customWidth="1"/>
    <col min="8" max="8" width="1.8515625" style="2" customWidth="1"/>
    <col min="9" max="9" width="3.57421875" style="2" customWidth="1"/>
    <col min="10" max="10" width="15.140625" style="2" customWidth="1"/>
    <col min="11" max="13" width="13.7109375" style="2" customWidth="1"/>
    <col min="14" max="16384" width="9.140625" style="2" customWidth="1"/>
  </cols>
  <sheetData>
    <row r="1" spans="1:8" ht="18">
      <c r="A1" s="11" t="s">
        <v>26</v>
      </c>
      <c r="B1" s="12"/>
      <c r="C1" s="12"/>
      <c r="D1" s="12"/>
      <c r="E1" s="12"/>
      <c r="F1" s="13" t="s">
        <v>77</v>
      </c>
      <c r="G1" s="17" t="s">
        <v>27</v>
      </c>
      <c r="H1" s="20"/>
    </row>
    <row r="2" spans="1:8" ht="12.75">
      <c r="A2" s="25" t="s">
        <v>25</v>
      </c>
      <c r="B2" s="21"/>
      <c r="C2" s="21"/>
      <c r="D2" s="21"/>
      <c r="E2" s="21"/>
      <c r="F2" s="21"/>
      <c r="G2" s="21"/>
      <c r="H2" s="21"/>
    </row>
    <row r="3" spans="1:8" ht="12.75">
      <c r="A3" s="26"/>
      <c r="B3" s="21"/>
      <c r="C3" s="21"/>
      <c r="D3" s="21"/>
      <c r="E3" s="21"/>
      <c r="F3" s="21"/>
      <c r="G3" s="21"/>
      <c r="H3" s="21"/>
    </row>
    <row r="4" spans="1:8" ht="15" customHeight="1">
      <c r="A4" s="21"/>
      <c r="B4" s="48" t="s">
        <v>0</v>
      </c>
      <c r="C4" s="48"/>
      <c r="D4" s="48"/>
      <c r="E4" s="21"/>
      <c r="F4" s="48" t="s">
        <v>32</v>
      </c>
      <c r="G4" s="49"/>
      <c r="H4" s="21"/>
    </row>
    <row r="5" spans="1:8" ht="15" customHeight="1">
      <c r="A5" s="21"/>
      <c r="B5" s="21"/>
      <c r="C5" s="29" t="s">
        <v>28</v>
      </c>
      <c r="D5" s="45">
        <v>20000</v>
      </c>
      <c r="E5" s="21"/>
      <c r="F5" s="22" t="s">
        <v>6</v>
      </c>
      <c r="G5" s="47">
        <f>SUM(E21:E176)+SUM(F21:F176)</f>
        <v>22728.620000000003</v>
      </c>
      <c r="H5" s="21"/>
    </row>
    <row r="6" spans="1:8" ht="15" customHeight="1">
      <c r="A6" s="21"/>
      <c r="B6" s="21"/>
      <c r="C6" s="32" t="s">
        <v>1</v>
      </c>
      <c r="D6" s="34">
        <v>0.085</v>
      </c>
      <c r="E6" s="21"/>
      <c r="F6" s="23" t="s">
        <v>7</v>
      </c>
      <c r="G6" s="41">
        <f>SUM(E20:E176)</f>
        <v>2728.6199999999994</v>
      </c>
      <c r="H6" s="21"/>
    </row>
    <row r="7" spans="1:8" ht="15" customHeight="1">
      <c r="A7" s="21"/>
      <c r="B7" s="21"/>
      <c r="C7" s="30" t="s">
        <v>2</v>
      </c>
      <c r="D7" s="35">
        <v>3</v>
      </c>
      <c r="E7" s="21"/>
      <c r="F7" s="24" t="s">
        <v>31</v>
      </c>
      <c r="G7" s="42" t="str">
        <f>IF((D15-G6)&lt;0.15,"None",(D15-G6))</f>
        <v>None</v>
      </c>
      <c r="H7" s="21"/>
    </row>
    <row r="8" spans="1:8" ht="15" customHeight="1">
      <c r="A8" s="21"/>
      <c r="B8" s="21"/>
      <c r="C8" s="29" t="s">
        <v>3</v>
      </c>
      <c r="D8" s="36">
        <v>39083</v>
      </c>
      <c r="E8" s="21"/>
      <c r="F8" s="24" t="s">
        <v>29</v>
      </c>
      <c r="G8" s="43">
        <f>MAX(A20:A177)</f>
        <v>36</v>
      </c>
      <c r="H8" s="21"/>
    </row>
    <row r="9" spans="1:8" ht="15" customHeight="1">
      <c r="A9" s="21"/>
      <c r="B9" s="21"/>
      <c r="C9" s="32" t="s">
        <v>4</v>
      </c>
      <c r="D9" s="37" t="s">
        <v>23</v>
      </c>
      <c r="E9" s="21"/>
      <c r="F9" s="24" t="s">
        <v>33</v>
      </c>
      <c r="G9" s="44">
        <f>MAX(B20:B177)</f>
        <v>40148</v>
      </c>
      <c r="H9" s="21"/>
    </row>
    <row r="10" spans="1:8" ht="12.75">
      <c r="A10" s="21"/>
      <c r="B10" s="21"/>
      <c r="C10" s="21"/>
      <c r="D10" s="21"/>
      <c r="E10" s="21"/>
      <c r="F10" s="21"/>
      <c r="G10" s="21"/>
      <c r="H10" s="21"/>
    </row>
    <row r="11" spans="1:8" ht="15" customHeight="1">
      <c r="A11" s="21"/>
      <c r="B11" s="48" t="s">
        <v>71</v>
      </c>
      <c r="C11" s="49"/>
      <c r="D11" s="49"/>
      <c r="E11" s="21"/>
      <c r="F11" s="21"/>
      <c r="G11" s="21"/>
      <c r="H11" s="21"/>
    </row>
    <row r="12" spans="1:8" ht="15" customHeight="1">
      <c r="A12" s="21"/>
      <c r="B12" s="21"/>
      <c r="C12" s="27" t="s">
        <v>29</v>
      </c>
      <c r="D12" s="46">
        <f>nper</f>
        <v>36</v>
      </c>
      <c r="E12" s="21"/>
      <c r="F12" s="21"/>
      <c r="G12" s="21"/>
      <c r="H12" s="21"/>
    </row>
    <row r="13" spans="1:13" ht="15" customHeight="1">
      <c r="A13" s="21"/>
      <c r="B13" s="21"/>
      <c r="C13" s="28" t="s">
        <v>5</v>
      </c>
      <c r="D13" s="38">
        <f>D6/periods_per_year</f>
        <v>0.007083333333333334</v>
      </c>
      <c r="E13" s="21"/>
      <c r="F13" s="21"/>
      <c r="G13" s="21"/>
      <c r="H13" s="21"/>
      <c r="J13" s="10"/>
      <c r="K13" s="8"/>
      <c r="L13" s="8"/>
      <c r="M13" s="8"/>
    </row>
    <row r="14" spans="1:10" ht="15" customHeight="1">
      <c r="A14" s="21"/>
      <c r="B14" s="21"/>
      <c r="C14" s="29" t="s">
        <v>15</v>
      </c>
      <c r="D14" s="39">
        <f>ROUND(-PMT(rate,nper,loan_amount),2)</f>
        <v>631.35</v>
      </c>
      <c r="E14" s="21"/>
      <c r="F14" s="21"/>
      <c r="G14" s="21"/>
      <c r="H14" s="21"/>
      <c r="J14" s="10"/>
    </row>
    <row r="15" spans="1:10" ht="15" customHeight="1">
      <c r="A15" s="21"/>
      <c r="B15" s="21"/>
      <c r="C15" s="30" t="s">
        <v>7</v>
      </c>
      <c r="D15" s="40">
        <f>D16-loan_amount</f>
        <v>2728.6269449613246</v>
      </c>
      <c r="E15" s="21"/>
      <c r="F15" s="21"/>
      <c r="G15" s="21"/>
      <c r="H15" s="21"/>
      <c r="J15" s="10"/>
    </row>
    <row r="16" spans="1:10" ht="15" customHeight="1">
      <c r="A16" s="21"/>
      <c r="B16" s="21"/>
      <c r="C16" s="30" t="s">
        <v>6</v>
      </c>
      <c r="D16" s="40">
        <f>D12*(-PMT(rate,nper,loan_amount))</f>
        <v>22728.626944961325</v>
      </c>
      <c r="E16" s="21"/>
      <c r="F16" s="21"/>
      <c r="G16" s="21"/>
      <c r="H16" s="21"/>
      <c r="J16" s="10"/>
    </row>
    <row r="17" spans="1:10" ht="12.75">
      <c r="A17" s="21"/>
      <c r="B17" s="21"/>
      <c r="C17" s="29"/>
      <c r="D17" s="31" t="str">
        <f>IF(AND(NOT(G177=""),G177&gt;0),"ERROR: Spreadsheet only valid for up to 156 payments",".")</f>
        <v>.</v>
      </c>
      <c r="E17" s="21"/>
      <c r="F17" s="21"/>
      <c r="G17" s="21"/>
      <c r="H17" s="21"/>
      <c r="J17" s="10"/>
    </row>
    <row r="18" ht="12.75">
      <c r="D18" s="3"/>
    </row>
    <row r="19" spans="1:9" ht="25.5">
      <c r="A19" s="50" t="s">
        <v>8</v>
      </c>
      <c r="B19" s="51" t="s">
        <v>9</v>
      </c>
      <c r="C19" s="51" t="s">
        <v>10</v>
      </c>
      <c r="D19" s="51" t="s">
        <v>11</v>
      </c>
      <c r="E19" s="51" t="s">
        <v>12</v>
      </c>
      <c r="F19" s="51" t="s">
        <v>13</v>
      </c>
      <c r="G19" s="51" t="s">
        <v>14</v>
      </c>
      <c r="H19" s="64"/>
      <c r="I19" s="4"/>
    </row>
    <row r="20" spans="1:8" ht="12.75">
      <c r="A20" s="14"/>
      <c r="B20" s="15"/>
      <c r="C20" s="14"/>
      <c r="D20" s="14"/>
      <c r="E20" s="14"/>
      <c r="F20" s="14"/>
      <c r="G20" s="16">
        <f>loan_amount</f>
        <v>20000</v>
      </c>
      <c r="H20" s="21"/>
    </row>
    <row r="21" spans="1:9" ht="12.75">
      <c r="A21" s="5">
        <f aca="true" t="shared" si="0" ref="A21:A52">IF(G20="","",IF(OR(A20&gt;=nper,ROUND(G20,2)&lt;=0),"",A20+1))</f>
        <v>1</v>
      </c>
      <c r="B21" s="6">
        <f aca="true" t="shared" si="1" ref="B21:B52">IF(A21="","",IF(periods_per_year=26,IF(A21=1,fpdate,B20+14),IF(periods_per_year=52,IF(A21=1,fpdate,B20+7),DATE(YEAR(fpdate),MONTH(fpdate)+(A21-1)*months_per_period,IF(periods_per_year=24,IF((1-MOD(A21,2))=1,DAY(fpdate)+14,DAY(fpdate)),DAY(fpdate))))))</f>
        <v>39083</v>
      </c>
      <c r="C21" s="7">
        <f aca="true" t="shared" si="2" ref="C21:C52">IF(A21="","",IF(OR(A21=nper,payment&gt;ROUND((1+rate)*G20,2)),ROUND((1+rate)*G20,2),payment))</f>
        <v>631.35</v>
      </c>
      <c r="D21" s="9">
        <v>0</v>
      </c>
      <c r="E21" s="7">
        <f aca="true" t="shared" si="3" ref="E21:E52">IF(A21="","",ROUND(rate*G20,2))</f>
        <v>141.67</v>
      </c>
      <c r="F21" s="7">
        <f aca="true" t="shared" si="4" ref="F21:F52">IF(A21="","",C21-E21+D21)</f>
        <v>489.68000000000006</v>
      </c>
      <c r="G21" s="7">
        <f aca="true" t="shared" si="5" ref="G21:G52">IF(A21="","",G20-F21)</f>
        <v>19510.32</v>
      </c>
      <c r="H21" s="7"/>
      <c r="I21" s="7"/>
    </row>
    <row r="22" spans="1:9" ht="12.75">
      <c r="A22" s="5">
        <f t="shared" si="0"/>
        <v>2</v>
      </c>
      <c r="B22" s="6">
        <f t="shared" si="1"/>
        <v>39114</v>
      </c>
      <c r="C22" s="7">
        <f t="shared" si="2"/>
        <v>631.35</v>
      </c>
      <c r="D22" s="9">
        <v>0</v>
      </c>
      <c r="E22" s="7">
        <f t="shared" si="3"/>
        <v>138.2</v>
      </c>
      <c r="F22" s="7">
        <f t="shared" si="4"/>
        <v>493.15000000000003</v>
      </c>
      <c r="G22" s="7">
        <f t="shared" si="5"/>
        <v>19017.17</v>
      </c>
      <c r="H22" s="7"/>
      <c r="I22" s="7"/>
    </row>
    <row r="23" spans="1:9" ht="12.75">
      <c r="A23" s="5">
        <f t="shared" si="0"/>
        <v>3</v>
      </c>
      <c r="B23" s="6">
        <f t="shared" si="1"/>
        <v>39142</v>
      </c>
      <c r="C23" s="7">
        <f t="shared" si="2"/>
        <v>631.35</v>
      </c>
      <c r="D23" s="9">
        <v>0</v>
      </c>
      <c r="E23" s="7">
        <f t="shared" si="3"/>
        <v>134.7</v>
      </c>
      <c r="F23" s="7">
        <f t="shared" si="4"/>
        <v>496.65000000000003</v>
      </c>
      <c r="G23" s="7">
        <f t="shared" si="5"/>
        <v>18520.519999999997</v>
      </c>
      <c r="H23" s="7"/>
      <c r="I23" s="7"/>
    </row>
    <row r="24" spans="1:9" ht="12.75">
      <c r="A24" s="5">
        <f t="shared" si="0"/>
        <v>4</v>
      </c>
      <c r="B24" s="6">
        <f t="shared" si="1"/>
        <v>39173</v>
      </c>
      <c r="C24" s="7">
        <f t="shared" si="2"/>
        <v>631.35</v>
      </c>
      <c r="D24" s="9">
        <v>0</v>
      </c>
      <c r="E24" s="7">
        <f t="shared" si="3"/>
        <v>131.19</v>
      </c>
      <c r="F24" s="7">
        <f t="shared" si="4"/>
        <v>500.16</v>
      </c>
      <c r="G24" s="7">
        <f t="shared" si="5"/>
        <v>18020.359999999997</v>
      </c>
      <c r="H24" s="7"/>
      <c r="I24" s="7"/>
    </row>
    <row r="25" spans="1:9" ht="12.75">
      <c r="A25" s="5">
        <f t="shared" si="0"/>
        <v>5</v>
      </c>
      <c r="B25" s="6">
        <f t="shared" si="1"/>
        <v>39203</v>
      </c>
      <c r="C25" s="7">
        <f t="shared" si="2"/>
        <v>631.35</v>
      </c>
      <c r="D25" s="9">
        <v>0</v>
      </c>
      <c r="E25" s="7">
        <f t="shared" si="3"/>
        <v>127.64</v>
      </c>
      <c r="F25" s="7">
        <f t="shared" si="4"/>
        <v>503.71000000000004</v>
      </c>
      <c r="G25" s="7">
        <f t="shared" si="5"/>
        <v>17516.649999999998</v>
      </c>
      <c r="H25" s="7"/>
      <c r="I25" s="7"/>
    </row>
    <row r="26" spans="1:9" ht="12.75">
      <c r="A26" s="5">
        <f t="shared" si="0"/>
        <v>6</v>
      </c>
      <c r="B26" s="6">
        <f t="shared" si="1"/>
        <v>39234</v>
      </c>
      <c r="C26" s="7">
        <f t="shared" si="2"/>
        <v>631.35</v>
      </c>
      <c r="D26" s="9">
        <v>0</v>
      </c>
      <c r="E26" s="7">
        <f t="shared" si="3"/>
        <v>124.08</v>
      </c>
      <c r="F26" s="7">
        <f t="shared" si="4"/>
        <v>507.27000000000004</v>
      </c>
      <c r="G26" s="7">
        <f t="shared" si="5"/>
        <v>17009.379999999997</v>
      </c>
      <c r="H26" s="7"/>
      <c r="I26" s="7"/>
    </row>
    <row r="27" spans="1:9" ht="12.75">
      <c r="A27" s="5">
        <f t="shared" si="0"/>
        <v>7</v>
      </c>
      <c r="B27" s="6">
        <f t="shared" si="1"/>
        <v>39264</v>
      </c>
      <c r="C27" s="7">
        <f t="shared" si="2"/>
        <v>631.35</v>
      </c>
      <c r="D27" s="9">
        <v>0</v>
      </c>
      <c r="E27" s="7">
        <f t="shared" si="3"/>
        <v>120.48</v>
      </c>
      <c r="F27" s="7">
        <f t="shared" si="4"/>
        <v>510.87</v>
      </c>
      <c r="G27" s="7">
        <f t="shared" si="5"/>
        <v>16498.51</v>
      </c>
      <c r="H27" s="7"/>
      <c r="I27" s="7"/>
    </row>
    <row r="28" spans="1:9" ht="12.75">
      <c r="A28" s="5">
        <f t="shared" si="0"/>
        <v>8</v>
      </c>
      <c r="B28" s="6">
        <f t="shared" si="1"/>
        <v>39295</v>
      </c>
      <c r="C28" s="7">
        <f t="shared" si="2"/>
        <v>631.35</v>
      </c>
      <c r="D28" s="9">
        <v>0</v>
      </c>
      <c r="E28" s="7">
        <f t="shared" si="3"/>
        <v>116.86</v>
      </c>
      <c r="F28" s="7">
        <f t="shared" si="4"/>
        <v>514.49</v>
      </c>
      <c r="G28" s="7">
        <f t="shared" si="5"/>
        <v>15984.019999999999</v>
      </c>
      <c r="H28" s="7"/>
      <c r="I28" s="7"/>
    </row>
    <row r="29" spans="1:9" ht="12.75">
      <c r="A29" s="5">
        <f t="shared" si="0"/>
        <v>9</v>
      </c>
      <c r="B29" s="6">
        <f t="shared" si="1"/>
        <v>39326</v>
      </c>
      <c r="C29" s="7">
        <f t="shared" si="2"/>
        <v>631.35</v>
      </c>
      <c r="D29" s="9">
        <v>0</v>
      </c>
      <c r="E29" s="7">
        <f t="shared" si="3"/>
        <v>113.22</v>
      </c>
      <c r="F29" s="7">
        <f t="shared" si="4"/>
        <v>518.13</v>
      </c>
      <c r="G29" s="7">
        <f t="shared" si="5"/>
        <v>15465.89</v>
      </c>
      <c r="H29" s="7"/>
      <c r="I29" s="7"/>
    </row>
    <row r="30" spans="1:9" ht="12.75">
      <c r="A30" s="5">
        <f t="shared" si="0"/>
        <v>10</v>
      </c>
      <c r="B30" s="6">
        <f t="shared" si="1"/>
        <v>39356</v>
      </c>
      <c r="C30" s="7">
        <f t="shared" si="2"/>
        <v>631.35</v>
      </c>
      <c r="D30" s="9">
        <v>0</v>
      </c>
      <c r="E30" s="7">
        <f t="shared" si="3"/>
        <v>109.55</v>
      </c>
      <c r="F30" s="7">
        <f t="shared" si="4"/>
        <v>521.8000000000001</v>
      </c>
      <c r="G30" s="7">
        <f t="shared" si="5"/>
        <v>14944.09</v>
      </c>
      <c r="H30" s="7"/>
      <c r="I30" s="7"/>
    </row>
    <row r="31" spans="1:9" ht="12.75">
      <c r="A31" s="5">
        <f t="shared" si="0"/>
        <v>11</v>
      </c>
      <c r="B31" s="6">
        <f t="shared" si="1"/>
        <v>39387</v>
      </c>
      <c r="C31" s="7">
        <f t="shared" si="2"/>
        <v>631.35</v>
      </c>
      <c r="D31" s="9">
        <v>0</v>
      </c>
      <c r="E31" s="7">
        <f t="shared" si="3"/>
        <v>105.85</v>
      </c>
      <c r="F31" s="7">
        <f t="shared" si="4"/>
        <v>525.5</v>
      </c>
      <c r="G31" s="7">
        <f t="shared" si="5"/>
        <v>14418.59</v>
      </c>
      <c r="H31" s="7"/>
      <c r="I31" s="7"/>
    </row>
    <row r="32" spans="1:9" ht="12.75">
      <c r="A32" s="5">
        <f t="shared" si="0"/>
        <v>12</v>
      </c>
      <c r="B32" s="6">
        <f t="shared" si="1"/>
        <v>39417</v>
      </c>
      <c r="C32" s="7">
        <f t="shared" si="2"/>
        <v>631.35</v>
      </c>
      <c r="D32" s="9">
        <v>0</v>
      </c>
      <c r="E32" s="7">
        <f t="shared" si="3"/>
        <v>102.13</v>
      </c>
      <c r="F32" s="7">
        <f t="shared" si="4"/>
        <v>529.22</v>
      </c>
      <c r="G32" s="7">
        <f t="shared" si="5"/>
        <v>13889.37</v>
      </c>
      <c r="H32" s="7"/>
      <c r="I32" s="7"/>
    </row>
    <row r="33" spans="1:9" ht="12.75">
      <c r="A33" s="5">
        <f t="shared" si="0"/>
        <v>13</v>
      </c>
      <c r="B33" s="6">
        <f t="shared" si="1"/>
        <v>39448</v>
      </c>
      <c r="C33" s="7">
        <f t="shared" si="2"/>
        <v>631.35</v>
      </c>
      <c r="D33" s="9">
        <v>0</v>
      </c>
      <c r="E33" s="7">
        <f t="shared" si="3"/>
        <v>98.38</v>
      </c>
      <c r="F33" s="7">
        <f t="shared" si="4"/>
        <v>532.97</v>
      </c>
      <c r="G33" s="7">
        <f t="shared" si="5"/>
        <v>13356.400000000001</v>
      </c>
      <c r="H33" s="7"/>
      <c r="I33" s="7"/>
    </row>
    <row r="34" spans="1:9" ht="12.75">
      <c r="A34" s="5">
        <f t="shared" si="0"/>
        <v>14</v>
      </c>
      <c r="B34" s="6">
        <f t="shared" si="1"/>
        <v>39479</v>
      </c>
      <c r="C34" s="7">
        <f t="shared" si="2"/>
        <v>631.35</v>
      </c>
      <c r="D34" s="9">
        <v>0</v>
      </c>
      <c r="E34" s="7">
        <f t="shared" si="3"/>
        <v>94.61</v>
      </c>
      <c r="F34" s="7">
        <f t="shared" si="4"/>
        <v>536.74</v>
      </c>
      <c r="G34" s="7">
        <f t="shared" si="5"/>
        <v>12819.660000000002</v>
      </c>
      <c r="H34" s="7"/>
      <c r="I34" s="7"/>
    </row>
    <row r="35" spans="1:9" ht="12.75">
      <c r="A35" s="5">
        <f t="shared" si="0"/>
        <v>15</v>
      </c>
      <c r="B35" s="6">
        <f t="shared" si="1"/>
        <v>39508</v>
      </c>
      <c r="C35" s="7">
        <f t="shared" si="2"/>
        <v>631.35</v>
      </c>
      <c r="D35" s="9">
        <v>0</v>
      </c>
      <c r="E35" s="7">
        <f t="shared" si="3"/>
        <v>90.81</v>
      </c>
      <c r="F35" s="7">
        <f t="shared" si="4"/>
        <v>540.54</v>
      </c>
      <c r="G35" s="7">
        <f t="shared" si="5"/>
        <v>12279.120000000003</v>
      </c>
      <c r="H35" s="7"/>
      <c r="I35" s="7"/>
    </row>
    <row r="36" spans="1:9" ht="12.75">
      <c r="A36" s="5">
        <f t="shared" si="0"/>
        <v>16</v>
      </c>
      <c r="B36" s="6">
        <f t="shared" si="1"/>
        <v>39539</v>
      </c>
      <c r="C36" s="7">
        <f t="shared" si="2"/>
        <v>631.35</v>
      </c>
      <c r="D36" s="9">
        <v>0</v>
      </c>
      <c r="E36" s="7">
        <f t="shared" si="3"/>
        <v>86.98</v>
      </c>
      <c r="F36" s="7">
        <f t="shared" si="4"/>
        <v>544.37</v>
      </c>
      <c r="G36" s="7">
        <f t="shared" si="5"/>
        <v>11734.750000000002</v>
      </c>
      <c r="H36" s="7"/>
      <c r="I36" s="7"/>
    </row>
    <row r="37" spans="1:9" ht="12.75">
      <c r="A37" s="5">
        <f t="shared" si="0"/>
        <v>17</v>
      </c>
      <c r="B37" s="6">
        <f t="shared" si="1"/>
        <v>39569</v>
      </c>
      <c r="C37" s="7">
        <f t="shared" si="2"/>
        <v>631.35</v>
      </c>
      <c r="D37" s="9">
        <v>0</v>
      </c>
      <c r="E37" s="7">
        <f t="shared" si="3"/>
        <v>83.12</v>
      </c>
      <c r="F37" s="7">
        <f t="shared" si="4"/>
        <v>548.23</v>
      </c>
      <c r="G37" s="7">
        <f t="shared" si="5"/>
        <v>11186.520000000002</v>
      </c>
      <c r="H37" s="7"/>
      <c r="I37" s="7"/>
    </row>
    <row r="38" spans="1:9" ht="12.75">
      <c r="A38" s="5">
        <f t="shared" si="0"/>
        <v>18</v>
      </c>
      <c r="B38" s="6">
        <f t="shared" si="1"/>
        <v>39600</v>
      </c>
      <c r="C38" s="7">
        <f t="shared" si="2"/>
        <v>631.35</v>
      </c>
      <c r="D38" s="9">
        <v>0</v>
      </c>
      <c r="E38" s="7">
        <f t="shared" si="3"/>
        <v>79.24</v>
      </c>
      <c r="F38" s="7">
        <f t="shared" si="4"/>
        <v>552.11</v>
      </c>
      <c r="G38" s="7">
        <f t="shared" si="5"/>
        <v>10634.410000000002</v>
      </c>
      <c r="H38" s="7"/>
      <c r="I38" s="7"/>
    </row>
    <row r="39" spans="1:9" ht="12.75">
      <c r="A39" s="5">
        <f t="shared" si="0"/>
        <v>19</v>
      </c>
      <c r="B39" s="6">
        <f t="shared" si="1"/>
        <v>39630</v>
      </c>
      <c r="C39" s="7">
        <f t="shared" si="2"/>
        <v>631.35</v>
      </c>
      <c r="D39" s="9">
        <v>0</v>
      </c>
      <c r="E39" s="7">
        <f t="shared" si="3"/>
        <v>75.33</v>
      </c>
      <c r="F39" s="7">
        <f t="shared" si="4"/>
        <v>556.02</v>
      </c>
      <c r="G39" s="7">
        <f t="shared" si="5"/>
        <v>10078.390000000001</v>
      </c>
      <c r="H39" s="7"/>
      <c r="I39" s="7"/>
    </row>
    <row r="40" spans="1:9" ht="12.75">
      <c r="A40" s="5">
        <f t="shared" si="0"/>
        <v>20</v>
      </c>
      <c r="B40" s="6">
        <f t="shared" si="1"/>
        <v>39661</v>
      </c>
      <c r="C40" s="7">
        <f t="shared" si="2"/>
        <v>631.35</v>
      </c>
      <c r="D40" s="9">
        <v>0</v>
      </c>
      <c r="E40" s="7">
        <f t="shared" si="3"/>
        <v>71.39</v>
      </c>
      <c r="F40" s="7">
        <f t="shared" si="4"/>
        <v>559.96</v>
      </c>
      <c r="G40" s="7">
        <f t="shared" si="5"/>
        <v>9518.43</v>
      </c>
      <c r="H40" s="7"/>
      <c r="I40" s="7"/>
    </row>
    <row r="41" spans="1:9" ht="12.75">
      <c r="A41" s="5">
        <f t="shared" si="0"/>
        <v>21</v>
      </c>
      <c r="B41" s="6">
        <f t="shared" si="1"/>
        <v>39692</v>
      </c>
      <c r="C41" s="7">
        <f t="shared" si="2"/>
        <v>631.35</v>
      </c>
      <c r="D41" s="9">
        <v>0</v>
      </c>
      <c r="E41" s="7">
        <f t="shared" si="3"/>
        <v>67.42</v>
      </c>
      <c r="F41" s="7">
        <f t="shared" si="4"/>
        <v>563.9300000000001</v>
      </c>
      <c r="G41" s="7">
        <f t="shared" si="5"/>
        <v>8954.5</v>
      </c>
      <c r="H41" s="7"/>
      <c r="I41" s="7"/>
    </row>
    <row r="42" spans="1:9" ht="12.75">
      <c r="A42" s="5">
        <f t="shared" si="0"/>
        <v>22</v>
      </c>
      <c r="B42" s="6">
        <f t="shared" si="1"/>
        <v>39722</v>
      </c>
      <c r="C42" s="7">
        <f t="shared" si="2"/>
        <v>631.35</v>
      </c>
      <c r="D42" s="9">
        <v>0</v>
      </c>
      <c r="E42" s="7">
        <f t="shared" si="3"/>
        <v>63.43</v>
      </c>
      <c r="F42" s="7">
        <f t="shared" si="4"/>
        <v>567.9200000000001</v>
      </c>
      <c r="G42" s="7">
        <f t="shared" si="5"/>
        <v>8386.58</v>
      </c>
      <c r="H42" s="7"/>
      <c r="I42" s="7"/>
    </row>
    <row r="43" spans="1:9" ht="12.75">
      <c r="A43" s="5">
        <f t="shared" si="0"/>
        <v>23</v>
      </c>
      <c r="B43" s="6">
        <f t="shared" si="1"/>
        <v>39753</v>
      </c>
      <c r="C43" s="7">
        <f t="shared" si="2"/>
        <v>631.35</v>
      </c>
      <c r="D43" s="9">
        <v>0</v>
      </c>
      <c r="E43" s="7">
        <f t="shared" si="3"/>
        <v>59.4</v>
      </c>
      <c r="F43" s="7">
        <f t="shared" si="4"/>
        <v>571.95</v>
      </c>
      <c r="G43" s="7">
        <f t="shared" si="5"/>
        <v>7814.63</v>
      </c>
      <c r="H43" s="7"/>
      <c r="I43" s="7"/>
    </row>
    <row r="44" spans="1:9" ht="12.75">
      <c r="A44" s="5">
        <f t="shared" si="0"/>
        <v>24</v>
      </c>
      <c r="B44" s="6">
        <f t="shared" si="1"/>
        <v>39783</v>
      </c>
      <c r="C44" s="7">
        <f t="shared" si="2"/>
        <v>631.35</v>
      </c>
      <c r="D44" s="9">
        <v>0</v>
      </c>
      <c r="E44" s="7">
        <f t="shared" si="3"/>
        <v>55.35</v>
      </c>
      <c r="F44" s="7">
        <f t="shared" si="4"/>
        <v>576</v>
      </c>
      <c r="G44" s="7">
        <f t="shared" si="5"/>
        <v>7238.63</v>
      </c>
      <c r="H44" s="7"/>
      <c r="I44" s="7"/>
    </row>
    <row r="45" spans="1:9" ht="12.75">
      <c r="A45" s="5">
        <f t="shared" si="0"/>
        <v>25</v>
      </c>
      <c r="B45" s="6">
        <f t="shared" si="1"/>
        <v>39814</v>
      </c>
      <c r="C45" s="7">
        <f t="shared" si="2"/>
        <v>631.35</v>
      </c>
      <c r="D45" s="9">
        <v>0</v>
      </c>
      <c r="E45" s="7">
        <f t="shared" si="3"/>
        <v>51.27</v>
      </c>
      <c r="F45" s="7">
        <f t="shared" si="4"/>
        <v>580.08</v>
      </c>
      <c r="G45" s="7">
        <f t="shared" si="5"/>
        <v>6658.55</v>
      </c>
      <c r="H45" s="7"/>
      <c r="I45" s="7"/>
    </row>
    <row r="46" spans="1:9" ht="12.75">
      <c r="A46" s="5">
        <f t="shared" si="0"/>
        <v>26</v>
      </c>
      <c r="B46" s="6">
        <f t="shared" si="1"/>
        <v>39845</v>
      </c>
      <c r="C46" s="7">
        <f t="shared" si="2"/>
        <v>631.35</v>
      </c>
      <c r="D46" s="9">
        <v>0</v>
      </c>
      <c r="E46" s="7">
        <f t="shared" si="3"/>
        <v>47.16</v>
      </c>
      <c r="F46" s="7">
        <f t="shared" si="4"/>
        <v>584.19</v>
      </c>
      <c r="G46" s="7">
        <f t="shared" si="5"/>
        <v>6074.360000000001</v>
      </c>
      <c r="H46" s="7"/>
      <c r="I46" s="7"/>
    </row>
    <row r="47" spans="1:9" ht="12.75">
      <c r="A47" s="5">
        <f t="shared" si="0"/>
        <v>27</v>
      </c>
      <c r="B47" s="6">
        <f t="shared" si="1"/>
        <v>39873</v>
      </c>
      <c r="C47" s="7">
        <f t="shared" si="2"/>
        <v>631.35</v>
      </c>
      <c r="D47" s="9">
        <v>0</v>
      </c>
      <c r="E47" s="7">
        <f t="shared" si="3"/>
        <v>43.03</v>
      </c>
      <c r="F47" s="7">
        <f t="shared" si="4"/>
        <v>588.32</v>
      </c>
      <c r="G47" s="7">
        <f t="shared" si="5"/>
        <v>5486.040000000001</v>
      </c>
      <c r="H47" s="7"/>
      <c r="I47" s="7"/>
    </row>
    <row r="48" spans="1:9" ht="12.75">
      <c r="A48" s="5">
        <f t="shared" si="0"/>
        <v>28</v>
      </c>
      <c r="B48" s="6">
        <f t="shared" si="1"/>
        <v>39904</v>
      </c>
      <c r="C48" s="7">
        <f t="shared" si="2"/>
        <v>631.35</v>
      </c>
      <c r="D48" s="9">
        <v>0</v>
      </c>
      <c r="E48" s="7">
        <f t="shared" si="3"/>
        <v>38.86</v>
      </c>
      <c r="F48" s="7">
        <f t="shared" si="4"/>
        <v>592.49</v>
      </c>
      <c r="G48" s="7">
        <f t="shared" si="5"/>
        <v>4893.550000000001</v>
      </c>
      <c r="H48" s="7"/>
      <c r="I48" s="7"/>
    </row>
    <row r="49" spans="1:9" ht="12.75">
      <c r="A49" s="5">
        <f t="shared" si="0"/>
        <v>29</v>
      </c>
      <c r="B49" s="6">
        <f t="shared" si="1"/>
        <v>39934</v>
      </c>
      <c r="C49" s="7">
        <f t="shared" si="2"/>
        <v>631.35</v>
      </c>
      <c r="D49" s="9">
        <v>0</v>
      </c>
      <c r="E49" s="7">
        <f t="shared" si="3"/>
        <v>34.66</v>
      </c>
      <c r="F49" s="7">
        <f t="shared" si="4"/>
        <v>596.69</v>
      </c>
      <c r="G49" s="7">
        <f t="shared" si="5"/>
        <v>4296.860000000001</v>
      </c>
      <c r="H49" s="7"/>
      <c r="I49" s="7"/>
    </row>
    <row r="50" spans="1:9" ht="12.75">
      <c r="A50" s="5">
        <f t="shared" si="0"/>
        <v>30</v>
      </c>
      <c r="B50" s="6">
        <f t="shared" si="1"/>
        <v>39965</v>
      </c>
      <c r="C50" s="7">
        <f t="shared" si="2"/>
        <v>631.35</v>
      </c>
      <c r="D50" s="9">
        <v>0</v>
      </c>
      <c r="E50" s="7">
        <f t="shared" si="3"/>
        <v>30.44</v>
      </c>
      <c r="F50" s="7">
        <f t="shared" si="4"/>
        <v>600.91</v>
      </c>
      <c r="G50" s="7">
        <f t="shared" si="5"/>
        <v>3695.9500000000007</v>
      </c>
      <c r="H50" s="7"/>
      <c r="I50" s="7"/>
    </row>
    <row r="51" spans="1:9" ht="12.75">
      <c r="A51" s="5">
        <f t="shared" si="0"/>
        <v>31</v>
      </c>
      <c r="B51" s="6">
        <f t="shared" si="1"/>
        <v>39995</v>
      </c>
      <c r="C51" s="7">
        <f t="shared" si="2"/>
        <v>631.35</v>
      </c>
      <c r="D51" s="9">
        <v>0</v>
      </c>
      <c r="E51" s="7">
        <f t="shared" si="3"/>
        <v>26.18</v>
      </c>
      <c r="F51" s="7">
        <f t="shared" si="4"/>
        <v>605.1700000000001</v>
      </c>
      <c r="G51" s="7">
        <f t="shared" si="5"/>
        <v>3090.7800000000007</v>
      </c>
      <c r="H51" s="7"/>
      <c r="I51" s="7"/>
    </row>
    <row r="52" spans="1:9" ht="12.75">
      <c r="A52" s="5">
        <f t="shared" si="0"/>
        <v>32</v>
      </c>
      <c r="B52" s="6">
        <f t="shared" si="1"/>
        <v>40026</v>
      </c>
      <c r="C52" s="7">
        <f t="shared" si="2"/>
        <v>631.35</v>
      </c>
      <c r="D52" s="9">
        <v>0</v>
      </c>
      <c r="E52" s="7">
        <f t="shared" si="3"/>
        <v>21.89</v>
      </c>
      <c r="F52" s="7">
        <f t="shared" si="4"/>
        <v>609.46</v>
      </c>
      <c r="G52" s="7">
        <f t="shared" si="5"/>
        <v>2481.3200000000006</v>
      </c>
      <c r="H52" s="7"/>
      <c r="I52" s="7"/>
    </row>
    <row r="53" spans="1:9" ht="12.75">
      <c r="A53" s="5">
        <f aca="true" t="shared" si="6" ref="A53:A84">IF(G52="","",IF(OR(A52&gt;=nper,ROUND(G52,2)&lt;=0),"",A52+1))</f>
        <v>33</v>
      </c>
      <c r="B53" s="6">
        <f aca="true" t="shared" si="7" ref="B53:B84">IF(A53="","",IF(periods_per_year=26,IF(A53=1,fpdate,B52+14),IF(periods_per_year=52,IF(A53=1,fpdate,B52+7),DATE(YEAR(fpdate),MONTH(fpdate)+(A53-1)*months_per_period,IF(periods_per_year=24,IF((1-MOD(A53,2))=1,DAY(fpdate)+14,DAY(fpdate)),DAY(fpdate))))))</f>
        <v>40057</v>
      </c>
      <c r="C53" s="7">
        <f aca="true" t="shared" si="8" ref="C53:C84">IF(A53="","",IF(OR(A53=nper,payment&gt;ROUND((1+rate)*G52,2)),ROUND((1+rate)*G52,2),payment))</f>
        <v>631.35</v>
      </c>
      <c r="D53" s="9">
        <v>0</v>
      </c>
      <c r="E53" s="7">
        <f aca="true" t="shared" si="9" ref="E53:E84">IF(A53="","",ROUND(rate*G52,2))</f>
        <v>17.58</v>
      </c>
      <c r="F53" s="7">
        <f aca="true" t="shared" si="10" ref="F53:F84">IF(A53="","",C53-E53+D53)</f>
        <v>613.77</v>
      </c>
      <c r="G53" s="7">
        <f aca="true" t="shared" si="11" ref="G53:G84">IF(A53="","",G52-F53)</f>
        <v>1867.5500000000006</v>
      </c>
      <c r="H53" s="7"/>
      <c r="I53" s="7"/>
    </row>
    <row r="54" spans="1:9" ht="12.75">
      <c r="A54" s="5">
        <f t="shared" si="6"/>
        <v>34</v>
      </c>
      <c r="B54" s="6">
        <f t="shared" si="7"/>
        <v>40087</v>
      </c>
      <c r="C54" s="7">
        <f t="shared" si="8"/>
        <v>631.35</v>
      </c>
      <c r="D54" s="9">
        <v>0</v>
      </c>
      <c r="E54" s="7">
        <f t="shared" si="9"/>
        <v>13.23</v>
      </c>
      <c r="F54" s="7">
        <f t="shared" si="10"/>
        <v>618.12</v>
      </c>
      <c r="G54" s="7">
        <f t="shared" si="11"/>
        <v>1249.4300000000007</v>
      </c>
      <c r="H54" s="7"/>
      <c r="I54" s="7"/>
    </row>
    <row r="55" spans="1:13" ht="12.75">
      <c r="A55" s="5">
        <f t="shared" si="6"/>
        <v>35</v>
      </c>
      <c r="B55" s="6">
        <f t="shared" si="7"/>
        <v>40118</v>
      </c>
      <c r="C55" s="7">
        <f t="shared" si="8"/>
        <v>631.35</v>
      </c>
      <c r="D55" s="9">
        <v>0</v>
      </c>
      <c r="E55" s="7">
        <f t="shared" si="9"/>
        <v>8.85</v>
      </c>
      <c r="F55" s="7">
        <f t="shared" si="10"/>
        <v>622.5</v>
      </c>
      <c r="G55" s="7">
        <f t="shared" si="11"/>
        <v>626.9300000000007</v>
      </c>
      <c r="H55" s="7"/>
      <c r="I55" s="7"/>
      <c r="J55" s="10"/>
      <c r="K55" s="8"/>
      <c r="L55" s="8"/>
      <c r="M55" s="8"/>
    </row>
    <row r="56" spans="1:9" ht="12.75">
      <c r="A56" s="5">
        <f t="shared" si="6"/>
        <v>36</v>
      </c>
      <c r="B56" s="6">
        <f t="shared" si="7"/>
        <v>40148</v>
      </c>
      <c r="C56" s="7">
        <f t="shared" si="8"/>
        <v>631.37</v>
      </c>
      <c r="D56" s="9">
        <v>0</v>
      </c>
      <c r="E56" s="7">
        <f t="shared" si="9"/>
        <v>4.44</v>
      </c>
      <c r="F56" s="7">
        <f t="shared" si="10"/>
        <v>626.93</v>
      </c>
      <c r="G56" s="7">
        <f t="shared" si="11"/>
        <v>7.958078640513122E-13</v>
      </c>
      <c r="H56" s="7"/>
      <c r="I56" s="7"/>
    </row>
    <row r="57" spans="1:9" ht="12.75">
      <c r="A57" s="5">
        <f t="shared" si="6"/>
      </c>
      <c r="B57" s="6">
        <f t="shared" si="7"/>
      </c>
      <c r="C57" s="7">
        <f t="shared" si="8"/>
      </c>
      <c r="D57" s="9">
        <v>0</v>
      </c>
      <c r="E57" s="7">
        <f t="shared" si="9"/>
      </c>
      <c r="F57" s="7">
        <f t="shared" si="10"/>
      </c>
      <c r="G57" s="7">
        <f t="shared" si="11"/>
      </c>
      <c r="H57" s="7"/>
      <c r="I57" s="7"/>
    </row>
    <row r="58" spans="1:9" ht="12.75">
      <c r="A58" s="5">
        <f t="shared" si="6"/>
      </c>
      <c r="B58" s="6">
        <f t="shared" si="7"/>
      </c>
      <c r="C58" s="7">
        <f t="shared" si="8"/>
      </c>
      <c r="D58" s="9">
        <v>0</v>
      </c>
      <c r="E58" s="7">
        <f t="shared" si="9"/>
      </c>
      <c r="F58" s="7">
        <f t="shared" si="10"/>
      </c>
      <c r="G58" s="7">
        <f t="shared" si="11"/>
      </c>
      <c r="H58" s="7"/>
      <c r="I58" s="7"/>
    </row>
    <row r="59" spans="1:9" ht="12.75">
      <c r="A59" s="5">
        <f t="shared" si="6"/>
      </c>
      <c r="B59" s="6">
        <f t="shared" si="7"/>
      </c>
      <c r="C59" s="7">
        <f t="shared" si="8"/>
      </c>
      <c r="D59" s="9">
        <v>0</v>
      </c>
      <c r="E59" s="7">
        <f t="shared" si="9"/>
      </c>
      <c r="F59" s="7">
        <f t="shared" si="10"/>
      </c>
      <c r="G59" s="7">
        <f t="shared" si="11"/>
      </c>
      <c r="H59" s="7"/>
      <c r="I59" s="7"/>
    </row>
    <row r="60" spans="1:9" ht="12.75">
      <c r="A60" s="5">
        <f t="shared" si="6"/>
      </c>
      <c r="B60" s="6">
        <f t="shared" si="7"/>
      </c>
      <c r="C60" s="7">
        <f t="shared" si="8"/>
      </c>
      <c r="D60" s="9">
        <v>0</v>
      </c>
      <c r="E60" s="7">
        <f t="shared" si="9"/>
      </c>
      <c r="F60" s="7">
        <f t="shared" si="10"/>
      </c>
      <c r="G60" s="7">
        <f t="shared" si="11"/>
      </c>
      <c r="H60" s="7"/>
      <c r="I60" s="7"/>
    </row>
    <row r="61" spans="1:9" ht="12.75">
      <c r="A61" s="5">
        <f t="shared" si="6"/>
      </c>
      <c r="B61" s="6">
        <f t="shared" si="7"/>
      </c>
      <c r="C61" s="7">
        <f t="shared" si="8"/>
      </c>
      <c r="D61" s="9">
        <v>0</v>
      </c>
      <c r="E61" s="7">
        <f t="shared" si="9"/>
      </c>
      <c r="F61" s="7">
        <f t="shared" si="10"/>
      </c>
      <c r="G61" s="7">
        <f t="shared" si="11"/>
      </c>
      <c r="H61" s="7"/>
      <c r="I61" s="7"/>
    </row>
    <row r="62" spans="1:9" ht="12.75">
      <c r="A62" s="5">
        <f t="shared" si="6"/>
      </c>
      <c r="B62" s="6">
        <f t="shared" si="7"/>
      </c>
      <c r="C62" s="7">
        <f t="shared" si="8"/>
      </c>
      <c r="D62" s="9">
        <v>0</v>
      </c>
      <c r="E62" s="7">
        <f t="shared" si="9"/>
      </c>
      <c r="F62" s="7">
        <f t="shared" si="10"/>
      </c>
      <c r="G62" s="7">
        <f t="shared" si="11"/>
      </c>
      <c r="H62" s="7"/>
      <c r="I62" s="7"/>
    </row>
    <row r="63" spans="1:9" ht="12.75">
      <c r="A63" s="5">
        <f t="shared" si="6"/>
      </c>
      <c r="B63" s="6">
        <f t="shared" si="7"/>
      </c>
      <c r="C63" s="7">
        <f t="shared" si="8"/>
      </c>
      <c r="D63" s="9">
        <v>0</v>
      </c>
      <c r="E63" s="7">
        <f t="shared" si="9"/>
      </c>
      <c r="F63" s="7">
        <f t="shared" si="10"/>
      </c>
      <c r="G63" s="7">
        <f t="shared" si="11"/>
      </c>
      <c r="H63" s="7"/>
      <c r="I63" s="7"/>
    </row>
    <row r="64" spans="1:9" ht="12.75">
      <c r="A64" s="5">
        <f t="shared" si="6"/>
      </c>
      <c r="B64" s="6">
        <f t="shared" si="7"/>
      </c>
      <c r="C64" s="7">
        <f t="shared" si="8"/>
      </c>
      <c r="D64" s="9">
        <v>0</v>
      </c>
      <c r="E64" s="7">
        <f t="shared" si="9"/>
      </c>
      <c r="F64" s="7">
        <f t="shared" si="10"/>
      </c>
      <c r="G64" s="7">
        <f t="shared" si="11"/>
      </c>
      <c r="H64" s="7"/>
      <c r="I64" s="7"/>
    </row>
    <row r="65" spans="1:9" ht="12.75">
      <c r="A65" s="5">
        <f t="shared" si="6"/>
      </c>
      <c r="B65" s="6">
        <f t="shared" si="7"/>
      </c>
      <c r="C65" s="7">
        <f t="shared" si="8"/>
      </c>
      <c r="D65" s="9">
        <v>0</v>
      </c>
      <c r="E65" s="7">
        <f t="shared" si="9"/>
      </c>
      <c r="F65" s="7">
        <f t="shared" si="10"/>
      </c>
      <c r="G65" s="7">
        <f t="shared" si="11"/>
      </c>
      <c r="H65" s="7"/>
      <c r="I65" s="7"/>
    </row>
    <row r="66" spans="1:9" ht="12.75">
      <c r="A66" s="5">
        <f t="shared" si="6"/>
      </c>
      <c r="B66" s="6">
        <f t="shared" si="7"/>
      </c>
      <c r="C66" s="7">
        <f t="shared" si="8"/>
      </c>
      <c r="D66" s="9">
        <v>0</v>
      </c>
      <c r="E66" s="7">
        <f t="shared" si="9"/>
      </c>
      <c r="F66" s="7">
        <f t="shared" si="10"/>
      </c>
      <c r="G66" s="7">
        <f t="shared" si="11"/>
      </c>
      <c r="H66" s="7"/>
      <c r="I66" s="7"/>
    </row>
    <row r="67" spans="1:9" ht="12.75">
      <c r="A67" s="5">
        <f t="shared" si="6"/>
      </c>
      <c r="B67" s="6">
        <f t="shared" si="7"/>
      </c>
      <c r="C67" s="7">
        <f t="shared" si="8"/>
      </c>
      <c r="D67" s="9">
        <v>0</v>
      </c>
      <c r="E67" s="7">
        <f t="shared" si="9"/>
      </c>
      <c r="F67" s="7">
        <f t="shared" si="10"/>
      </c>
      <c r="G67" s="7">
        <f t="shared" si="11"/>
      </c>
      <c r="H67" s="7"/>
      <c r="I67" s="7"/>
    </row>
    <row r="68" spans="1:9" ht="12.75">
      <c r="A68" s="5">
        <f t="shared" si="6"/>
      </c>
      <c r="B68" s="6">
        <f t="shared" si="7"/>
      </c>
      <c r="C68" s="7">
        <f t="shared" si="8"/>
      </c>
      <c r="D68" s="9">
        <v>0</v>
      </c>
      <c r="E68" s="7">
        <f t="shared" si="9"/>
      </c>
      <c r="F68" s="7">
        <f t="shared" si="10"/>
      </c>
      <c r="G68" s="7">
        <f t="shared" si="11"/>
      </c>
      <c r="H68" s="7"/>
      <c r="I68" s="7"/>
    </row>
    <row r="69" spans="1:9" ht="12.75">
      <c r="A69" s="5">
        <f t="shared" si="6"/>
      </c>
      <c r="B69" s="6">
        <f t="shared" si="7"/>
      </c>
      <c r="C69" s="7">
        <f t="shared" si="8"/>
      </c>
      <c r="D69" s="9">
        <v>0</v>
      </c>
      <c r="E69" s="7">
        <f t="shared" si="9"/>
      </c>
      <c r="F69" s="7">
        <f t="shared" si="10"/>
      </c>
      <c r="G69" s="7">
        <f t="shared" si="11"/>
      </c>
      <c r="H69" s="7"/>
      <c r="I69" s="7"/>
    </row>
    <row r="70" spans="1:9" ht="12.75">
      <c r="A70" s="5">
        <f t="shared" si="6"/>
      </c>
      <c r="B70" s="6">
        <f t="shared" si="7"/>
      </c>
      <c r="C70" s="7">
        <f t="shared" si="8"/>
      </c>
      <c r="D70" s="9">
        <v>0</v>
      </c>
      <c r="E70" s="7">
        <f t="shared" si="9"/>
      </c>
      <c r="F70" s="7">
        <f t="shared" si="10"/>
      </c>
      <c r="G70" s="7">
        <f t="shared" si="11"/>
      </c>
      <c r="H70" s="7"/>
      <c r="I70" s="7"/>
    </row>
    <row r="71" spans="1:9" ht="12.75">
      <c r="A71" s="5">
        <f t="shared" si="6"/>
      </c>
      <c r="B71" s="6">
        <f t="shared" si="7"/>
      </c>
      <c r="C71" s="7">
        <f t="shared" si="8"/>
      </c>
      <c r="D71" s="9">
        <v>0</v>
      </c>
      <c r="E71" s="7">
        <f t="shared" si="9"/>
      </c>
      <c r="F71" s="7">
        <f t="shared" si="10"/>
      </c>
      <c r="G71" s="7">
        <f t="shared" si="11"/>
      </c>
      <c r="H71" s="7"/>
      <c r="I71" s="7"/>
    </row>
    <row r="72" spans="1:9" ht="12.75">
      <c r="A72" s="5">
        <f t="shared" si="6"/>
      </c>
      <c r="B72" s="6">
        <f t="shared" si="7"/>
      </c>
      <c r="C72" s="7">
        <f t="shared" si="8"/>
      </c>
      <c r="D72" s="9">
        <v>0</v>
      </c>
      <c r="E72" s="7">
        <f t="shared" si="9"/>
      </c>
      <c r="F72" s="7">
        <f t="shared" si="10"/>
      </c>
      <c r="G72" s="7">
        <f t="shared" si="11"/>
      </c>
      <c r="H72" s="7"/>
      <c r="I72" s="7"/>
    </row>
    <row r="73" spans="1:9" ht="12.75">
      <c r="A73" s="5">
        <f t="shared" si="6"/>
      </c>
      <c r="B73" s="6">
        <f t="shared" si="7"/>
      </c>
      <c r="C73" s="7">
        <f t="shared" si="8"/>
      </c>
      <c r="D73" s="9">
        <v>0</v>
      </c>
      <c r="E73" s="7">
        <f t="shared" si="9"/>
      </c>
      <c r="F73" s="7">
        <f t="shared" si="10"/>
      </c>
      <c r="G73" s="7">
        <f t="shared" si="11"/>
      </c>
      <c r="H73" s="7"/>
      <c r="I73" s="7"/>
    </row>
    <row r="74" spans="1:9" ht="12.75">
      <c r="A74" s="5">
        <f t="shared" si="6"/>
      </c>
      <c r="B74" s="6">
        <f t="shared" si="7"/>
      </c>
      <c r="C74" s="7">
        <f t="shared" si="8"/>
      </c>
      <c r="D74" s="9">
        <v>0</v>
      </c>
      <c r="E74" s="7">
        <f t="shared" si="9"/>
      </c>
      <c r="F74" s="7">
        <f t="shared" si="10"/>
      </c>
      <c r="G74" s="7">
        <f t="shared" si="11"/>
      </c>
      <c r="H74" s="7"/>
      <c r="I74" s="7"/>
    </row>
    <row r="75" spans="1:9" ht="12.75">
      <c r="A75" s="5">
        <f t="shared" si="6"/>
      </c>
      <c r="B75" s="6">
        <f t="shared" si="7"/>
      </c>
      <c r="C75" s="7">
        <f t="shared" si="8"/>
      </c>
      <c r="D75" s="9">
        <v>0</v>
      </c>
      <c r="E75" s="7">
        <f t="shared" si="9"/>
      </c>
      <c r="F75" s="7">
        <f t="shared" si="10"/>
      </c>
      <c r="G75" s="7">
        <f t="shared" si="11"/>
      </c>
      <c r="H75" s="7"/>
      <c r="I75" s="7"/>
    </row>
    <row r="76" spans="1:9" ht="12.75">
      <c r="A76" s="5">
        <f t="shared" si="6"/>
      </c>
      <c r="B76" s="6">
        <f t="shared" si="7"/>
      </c>
      <c r="C76" s="7">
        <f t="shared" si="8"/>
      </c>
      <c r="D76" s="9">
        <v>0</v>
      </c>
      <c r="E76" s="7">
        <f t="shared" si="9"/>
      </c>
      <c r="F76" s="7">
        <f t="shared" si="10"/>
      </c>
      <c r="G76" s="7">
        <f t="shared" si="11"/>
      </c>
      <c r="H76" s="7"/>
      <c r="I76" s="7"/>
    </row>
    <row r="77" spans="1:9" ht="12.75">
      <c r="A77" s="5">
        <f t="shared" si="6"/>
      </c>
      <c r="B77" s="6">
        <f t="shared" si="7"/>
      </c>
      <c r="C77" s="7">
        <f t="shared" si="8"/>
      </c>
      <c r="D77" s="9">
        <v>0</v>
      </c>
      <c r="E77" s="7">
        <f t="shared" si="9"/>
      </c>
      <c r="F77" s="7">
        <f t="shared" si="10"/>
      </c>
      <c r="G77" s="7">
        <f t="shared" si="11"/>
      </c>
      <c r="H77" s="7"/>
      <c r="I77" s="7"/>
    </row>
    <row r="78" spans="1:9" ht="12.75">
      <c r="A78" s="5">
        <f t="shared" si="6"/>
      </c>
      <c r="B78" s="6">
        <f t="shared" si="7"/>
      </c>
      <c r="C78" s="7">
        <f t="shared" si="8"/>
      </c>
      <c r="D78" s="9">
        <v>0</v>
      </c>
      <c r="E78" s="7">
        <f t="shared" si="9"/>
      </c>
      <c r="F78" s="7">
        <f t="shared" si="10"/>
      </c>
      <c r="G78" s="7">
        <f t="shared" si="11"/>
      </c>
      <c r="H78" s="7"/>
      <c r="I78" s="7"/>
    </row>
    <row r="79" spans="1:9" ht="12.75">
      <c r="A79" s="5">
        <f t="shared" si="6"/>
      </c>
      <c r="B79" s="6">
        <f t="shared" si="7"/>
      </c>
      <c r="C79" s="7">
        <f t="shared" si="8"/>
      </c>
      <c r="D79" s="9">
        <v>0</v>
      </c>
      <c r="E79" s="7">
        <f t="shared" si="9"/>
      </c>
      <c r="F79" s="7">
        <f t="shared" si="10"/>
      </c>
      <c r="G79" s="7">
        <f t="shared" si="11"/>
      </c>
      <c r="H79" s="7"/>
      <c r="I79" s="7"/>
    </row>
    <row r="80" spans="1:9" ht="12.75">
      <c r="A80" s="5">
        <f t="shared" si="6"/>
      </c>
      <c r="B80" s="6">
        <f t="shared" si="7"/>
      </c>
      <c r="C80" s="7">
        <f t="shared" si="8"/>
      </c>
      <c r="D80" s="9">
        <v>0</v>
      </c>
      <c r="E80" s="7">
        <f t="shared" si="9"/>
      </c>
      <c r="F80" s="7">
        <f t="shared" si="10"/>
      </c>
      <c r="G80" s="7">
        <f t="shared" si="11"/>
      </c>
      <c r="H80" s="7"/>
      <c r="I80" s="7"/>
    </row>
    <row r="81" spans="1:9" ht="12.75">
      <c r="A81" s="5">
        <f t="shared" si="6"/>
      </c>
      <c r="B81" s="6">
        <f t="shared" si="7"/>
      </c>
      <c r="C81" s="7">
        <f t="shared" si="8"/>
      </c>
      <c r="D81" s="9">
        <v>0</v>
      </c>
      <c r="E81" s="7">
        <f t="shared" si="9"/>
      </c>
      <c r="F81" s="7">
        <f t="shared" si="10"/>
      </c>
      <c r="G81" s="7">
        <f t="shared" si="11"/>
      </c>
      <c r="H81" s="7"/>
      <c r="I81" s="7"/>
    </row>
    <row r="82" spans="1:9" ht="12.75">
      <c r="A82" s="5">
        <f t="shared" si="6"/>
      </c>
      <c r="B82" s="6">
        <f t="shared" si="7"/>
      </c>
      <c r="C82" s="7">
        <f t="shared" si="8"/>
      </c>
      <c r="D82" s="9">
        <v>0</v>
      </c>
      <c r="E82" s="7">
        <f t="shared" si="9"/>
      </c>
      <c r="F82" s="7">
        <f t="shared" si="10"/>
      </c>
      <c r="G82" s="7">
        <f t="shared" si="11"/>
      </c>
      <c r="H82" s="7"/>
      <c r="I82" s="7"/>
    </row>
    <row r="83" spans="1:9" ht="12.75">
      <c r="A83" s="5">
        <f t="shared" si="6"/>
      </c>
      <c r="B83" s="6">
        <f t="shared" si="7"/>
      </c>
      <c r="C83" s="7">
        <f t="shared" si="8"/>
      </c>
      <c r="D83" s="9">
        <v>0</v>
      </c>
      <c r="E83" s="7">
        <f t="shared" si="9"/>
      </c>
      <c r="F83" s="7">
        <f t="shared" si="10"/>
      </c>
      <c r="G83" s="7">
        <f t="shared" si="11"/>
      </c>
      <c r="H83" s="7"/>
      <c r="I83" s="7"/>
    </row>
    <row r="84" spans="1:9" ht="12.75">
      <c r="A84" s="5">
        <f t="shared" si="6"/>
      </c>
      <c r="B84" s="6">
        <f t="shared" si="7"/>
      </c>
      <c r="C84" s="7">
        <f t="shared" si="8"/>
      </c>
      <c r="D84" s="9">
        <v>0</v>
      </c>
      <c r="E84" s="7">
        <f t="shared" si="9"/>
      </c>
      <c r="F84" s="7">
        <f t="shared" si="10"/>
      </c>
      <c r="G84" s="7">
        <f t="shared" si="11"/>
      </c>
      <c r="H84" s="7"/>
      <c r="I84" s="7"/>
    </row>
    <row r="85" spans="1:9" ht="12.75">
      <c r="A85" s="5">
        <f aca="true" t="shared" si="12" ref="A85:A116">IF(G84="","",IF(OR(A84&gt;=nper,ROUND(G84,2)&lt;=0),"",A84+1))</f>
      </c>
      <c r="B85" s="6">
        <f aca="true" t="shared" si="13" ref="B85:B148">IF(A85="","",IF(periods_per_year=26,IF(A85=1,fpdate,B84+14),IF(periods_per_year=52,IF(A85=1,fpdate,B84+7),DATE(YEAR(fpdate),MONTH(fpdate)+(A85-1)*months_per_period,IF(periods_per_year=24,IF((1-MOD(A85,2))=1,DAY(fpdate)+14,DAY(fpdate)),DAY(fpdate))))))</f>
      </c>
      <c r="C85" s="7">
        <f aca="true" t="shared" si="14" ref="C85:C148">IF(A85="","",IF(OR(A85=nper,payment&gt;ROUND((1+rate)*G84,2)),ROUND((1+rate)*G84,2),payment))</f>
      </c>
      <c r="D85" s="9">
        <v>0</v>
      </c>
      <c r="E85" s="7">
        <f aca="true" t="shared" si="15" ref="E85:E148">IF(A85="","",ROUND(rate*G84,2))</f>
      </c>
      <c r="F85" s="7">
        <f aca="true" t="shared" si="16" ref="F85:F148">IF(A85="","",C85-E85+D85)</f>
      </c>
      <c r="G85" s="7">
        <f aca="true" t="shared" si="17" ref="G85:G148">IF(A85="","",G84-F85)</f>
      </c>
      <c r="H85" s="7"/>
      <c r="I85" s="7"/>
    </row>
    <row r="86" spans="1:9" ht="12.75">
      <c r="A86" s="5">
        <f t="shared" si="12"/>
      </c>
      <c r="B86" s="6">
        <f t="shared" si="13"/>
      </c>
      <c r="C86" s="7">
        <f t="shared" si="14"/>
      </c>
      <c r="D86" s="9">
        <v>0</v>
      </c>
      <c r="E86" s="7">
        <f t="shared" si="15"/>
      </c>
      <c r="F86" s="7">
        <f t="shared" si="16"/>
      </c>
      <c r="G86" s="7">
        <f t="shared" si="17"/>
      </c>
      <c r="H86" s="7"/>
      <c r="I86" s="7"/>
    </row>
    <row r="87" spans="1:9" ht="12.75">
      <c r="A87" s="5">
        <f t="shared" si="12"/>
      </c>
      <c r="B87" s="6">
        <f t="shared" si="13"/>
      </c>
      <c r="C87" s="7">
        <f t="shared" si="14"/>
      </c>
      <c r="D87" s="9">
        <v>0</v>
      </c>
      <c r="E87" s="7">
        <f t="shared" si="15"/>
      </c>
      <c r="F87" s="7">
        <f t="shared" si="16"/>
      </c>
      <c r="G87" s="7">
        <f t="shared" si="17"/>
      </c>
      <c r="H87" s="7"/>
      <c r="I87" s="7"/>
    </row>
    <row r="88" spans="1:9" ht="12.75">
      <c r="A88" s="5">
        <f t="shared" si="12"/>
      </c>
      <c r="B88" s="6">
        <f t="shared" si="13"/>
      </c>
      <c r="C88" s="7">
        <f t="shared" si="14"/>
      </c>
      <c r="D88" s="9">
        <v>0</v>
      </c>
      <c r="E88" s="7">
        <f t="shared" si="15"/>
      </c>
      <c r="F88" s="7">
        <f t="shared" si="16"/>
      </c>
      <c r="G88" s="7">
        <f t="shared" si="17"/>
      </c>
      <c r="H88" s="7"/>
      <c r="I88" s="7"/>
    </row>
    <row r="89" spans="1:9" ht="12.75">
      <c r="A89" s="5">
        <f t="shared" si="12"/>
      </c>
      <c r="B89" s="6">
        <f t="shared" si="13"/>
      </c>
      <c r="C89" s="7">
        <f t="shared" si="14"/>
      </c>
      <c r="D89" s="9">
        <v>0</v>
      </c>
      <c r="E89" s="7">
        <f t="shared" si="15"/>
      </c>
      <c r="F89" s="7">
        <f t="shared" si="16"/>
      </c>
      <c r="G89" s="7">
        <f t="shared" si="17"/>
      </c>
      <c r="H89" s="7"/>
      <c r="I89" s="7"/>
    </row>
    <row r="90" spans="1:9" ht="12.75">
      <c r="A90" s="5">
        <f t="shared" si="12"/>
      </c>
      <c r="B90" s="6">
        <f t="shared" si="13"/>
      </c>
      <c r="C90" s="7">
        <f t="shared" si="14"/>
      </c>
      <c r="D90" s="9">
        <v>0</v>
      </c>
      <c r="E90" s="7">
        <f t="shared" si="15"/>
      </c>
      <c r="F90" s="7">
        <f t="shared" si="16"/>
      </c>
      <c r="G90" s="7">
        <f t="shared" si="17"/>
      </c>
      <c r="H90" s="7"/>
      <c r="I90" s="7"/>
    </row>
    <row r="91" spans="1:9" ht="12.75">
      <c r="A91" s="5">
        <f t="shared" si="12"/>
      </c>
      <c r="B91" s="6">
        <f t="shared" si="13"/>
      </c>
      <c r="C91" s="7">
        <f t="shared" si="14"/>
      </c>
      <c r="D91" s="9">
        <v>0</v>
      </c>
      <c r="E91" s="7">
        <f t="shared" si="15"/>
      </c>
      <c r="F91" s="7">
        <f t="shared" si="16"/>
      </c>
      <c r="G91" s="7">
        <f t="shared" si="17"/>
      </c>
      <c r="H91" s="7"/>
      <c r="I91" s="7"/>
    </row>
    <row r="92" spans="1:9" ht="12.75">
      <c r="A92" s="5">
        <f t="shared" si="12"/>
      </c>
      <c r="B92" s="6">
        <f t="shared" si="13"/>
      </c>
      <c r="C92" s="7">
        <f t="shared" si="14"/>
      </c>
      <c r="D92" s="9">
        <v>0</v>
      </c>
      <c r="E92" s="7">
        <f t="shared" si="15"/>
      </c>
      <c r="F92" s="7">
        <f t="shared" si="16"/>
      </c>
      <c r="G92" s="7">
        <f t="shared" si="17"/>
      </c>
      <c r="H92" s="7"/>
      <c r="I92" s="7"/>
    </row>
    <row r="93" spans="1:9" ht="12.75">
      <c r="A93" s="5">
        <f t="shared" si="12"/>
      </c>
      <c r="B93" s="6">
        <f t="shared" si="13"/>
      </c>
      <c r="C93" s="7">
        <f t="shared" si="14"/>
      </c>
      <c r="D93" s="9">
        <v>0</v>
      </c>
      <c r="E93" s="7">
        <f t="shared" si="15"/>
      </c>
      <c r="F93" s="7">
        <f t="shared" si="16"/>
      </c>
      <c r="G93" s="7">
        <f t="shared" si="17"/>
      </c>
      <c r="H93" s="7"/>
      <c r="I93" s="7"/>
    </row>
    <row r="94" spans="1:9" ht="12.75">
      <c r="A94" s="5">
        <f t="shared" si="12"/>
      </c>
      <c r="B94" s="6">
        <f t="shared" si="13"/>
      </c>
      <c r="C94" s="7">
        <f t="shared" si="14"/>
      </c>
      <c r="D94" s="9">
        <v>0</v>
      </c>
      <c r="E94" s="7">
        <f t="shared" si="15"/>
      </c>
      <c r="F94" s="7">
        <f t="shared" si="16"/>
      </c>
      <c r="G94" s="7">
        <f t="shared" si="17"/>
      </c>
      <c r="H94" s="7"/>
      <c r="I94" s="7"/>
    </row>
    <row r="95" spans="1:9" ht="12.75">
      <c r="A95" s="5">
        <f t="shared" si="12"/>
      </c>
      <c r="B95" s="6">
        <f t="shared" si="13"/>
      </c>
      <c r="C95" s="7">
        <f t="shared" si="14"/>
      </c>
      <c r="D95" s="9">
        <v>0</v>
      </c>
      <c r="E95" s="7">
        <f t="shared" si="15"/>
      </c>
      <c r="F95" s="7">
        <f t="shared" si="16"/>
      </c>
      <c r="G95" s="7">
        <f t="shared" si="17"/>
      </c>
      <c r="H95" s="7"/>
      <c r="I95" s="7"/>
    </row>
    <row r="96" spans="1:9" ht="12.75">
      <c r="A96" s="5">
        <f t="shared" si="12"/>
      </c>
      <c r="B96" s="6">
        <f t="shared" si="13"/>
      </c>
      <c r="C96" s="7">
        <f t="shared" si="14"/>
      </c>
      <c r="D96" s="9">
        <v>0</v>
      </c>
      <c r="E96" s="7">
        <f t="shared" si="15"/>
      </c>
      <c r="F96" s="7">
        <f t="shared" si="16"/>
      </c>
      <c r="G96" s="7">
        <f t="shared" si="17"/>
      </c>
      <c r="H96" s="7"/>
      <c r="I96" s="7"/>
    </row>
    <row r="97" spans="1:9" ht="12.75">
      <c r="A97" s="5">
        <f t="shared" si="12"/>
      </c>
      <c r="B97" s="6">
        <f t="shared" si="13"/>
      </c>
      <c r="C97" s="7">
        <f t="shared" si="14"/>
      </c>
      <c r="D97" s="9">
        <v>0</v>
      </c>
      <c r="E97" s="7">
        <f t="shared" si="15"/>
      </c>
      <c r="F97" s="7">
        <f t="shared" si="16"/>
      </c>
      <c r="G97" s="7">
        <f t="shared" si="17"/>
      </c>
      <c r="H97" s="7"/>
      <c r="I97" s="7"/>
    </row>
    <row r="98" spans="1:9" ht="12.75">
      <c r="A98" s="5">
        <f t="shared" si="12"/>
      </c>
      <c r="B98" s="6">
        <f t="shared" si="13"/>
      </c>
      <c r="C98" s="7">
        <f t="shared" si="14"/>
      </c>
      <c r="D98" s="9">
        <v>0</v>
      </c>
      <c r="E98" s="7">
        <f t="shared" si="15"/>
      </c>
      <c r="F98" s="7">
        <f t="shared" si="16"/>
      </c>
      <c r="G98" s="7">
        <f t="shared" si="17"/>
      </c>
      <c r="H98" s="7"/>
      <c r="I98" s="7"/>
    </row>
    <row r="99" spans="1:9" ht="12.75">
      <c r="A99" s="5">
        <f t="shared" si="12"/>
      </c>
      <c r="B99" s="6">
        <f t="shared" si="13"/>
      </c>
      <c r="C99" s="7">
        <f t="shared" si="14"/>
      </c>
      <c r="D99" s="9">
        <v>0</v>
      </c>
      <c r="E99" s="7">
        <f t="shared" si="15"/>
      </c>
      <c r="F99" s="7">
        <f t="shared" si="16"/>
      </c>
      <c r="G99" s="7">
        <f t="shared" si="17"/>
      </c>
      <c r="H99" s="7"/>
      <c r="I99" s="7"/>
    </row>
    <row r="100" spans="1:9" ht="12.75">
      <c r="A100" s="5">
        <f t="shared" si="12"/>
      </c>
      <c r="B100" s="6">
        <f t="shared" si="13"/>
      </c>
      <c r="C100" s="7">
        <f t="shared" si="14"/>
      </c>
      <c r="D100" s="9">
        <v>0</v>
      </c>
      <c r="E100" s="7">
        <f t="shared" si="15"/>
      </c>
      <c r="F100" s="7">
        <f t="shared" si="16"/>
      </c>
      <c r="G100" s="7">
        <f t="shared" si="17"/>
      </c>
      <c r="H100" s="7"/>
      <c r="I100" s="7"/>
    </row>
    <row r="101" spans="1:9" ht="12.75">
      <c r="A101" s="5">
        <f t="shared" si="12"/>
      </c>
      <c r="B101" s="6">
        <f t="shared" si="13"/>
      </c>
      <c r="C101" s="7">
        <f t="shared" si="14"/>
      </c>
      <c r="D101" s="9">
        <v>0</v>
      </c>
      <c r="E101" s="7">
        <f t="shared" si="15"/>
      </c>
      <c r="F101" s="7">
        <f t="shared" si="16"/>
      </c>
      <c r="G101" s="7">
        <f t="shared" si="17"/>
      </c>
      <c r="H101" s="7"/>
      <c r="I101" s="7"/>
    </row>
    <row r="102" spans="1:9" ht="12.75">
      <c r="A102" s="5">
        <f t="shared" si="12"/>
      </c>
      <c r="B102" s="6">
        <f t="shared" si="13"/>
      </c>
      <c r="C102" s="7">
        <f t="shared" si="14"/>
      </c>
      <c r="D102" s="9">
        <v>0</v>
      </c>
      <c r="E102" s="7">
        <f t="shared" si="15"/>
      </c>
      <c r="F102" s="7">
        <f t="shared" si="16"/>
      </c>
      <c r="G102" s="7">
        <f t="shared" si="17"/>
      </c>
      <c r="H102" s="7"/>
      <c r="I102" s="7"/>
    </row>
    <row r="103" spans="1:9" ht="12.75">
      <c r="A103" s="5">
        <f t="shared" si="12"/>
      </c>
      <c r="B103" s="6">
        <f t="shared" si="13"/>
      </c>
      <c r="C103" s="7">
        <f t="shared" si="14"/>
      </c>
      <c r="D103" s="9">
        <v>0</v>
      </c>
      <c r="E103" s="7">
        <f t="shared" si="15"/>
      </c>
      <c r="F103" s="7">
        <f t="shared" si="16"/>
      </c>
      <c r="G103" s="7">
        <f t="shared" si="17"/>
      </c>
      <c r="H103" s="7"/>
      <c r="I103" s="7"/>
    </row>
    <row r="104" spans="1:9" ht="12.75">
      <c r="A104" s="5">
        <f t="shared" si="12"/>
      </c>
      <c r="B104" s="6">
        <f t="shared" si="13"/>
      </c>
      <c r="C104" s="7">
        <f t="shared" si="14"/>
      </c>
      <c r="D104" s="9">
        <v>0</v>
      </c>
      <c r="E104" s="7">
        <f t="shared" si="15"/>
      </c>
      <c r="F104" s="7">
        <f t="shared" si="16"/>
      </c>
      <c r="G104" s="7">
        <f t="shared" si="17"/>
      </c>
      <c r="H104" s="7"/>
      <c r="I104" s="7"/>
    </row>
    <row r="105" spans="1:9" ht="12.75">
      <c r="A105" s="5">
        <f t="shared" si="12"/>
      </c>
      <c r="B105" s="6">
        <f t="shared" si="13"/>
      </c>
      <c r="C105" s="7">
        <f t="shared" si="14"/>
      </c>
      <c r="D105" s="9">
        <v>0</v>
      </c>
      <c r="E105" s="7">
        <f t="shared" si="15"/>
      </c>
      <c r="F105" s="7">
        <f t="shared" si="16"/>
      </c>
      <c r="G105" s="7">
        <f t="shared" si="17"/>
      </c>
      <c r="H105" s="7"/>
      <c r="I105" s="7"/>
    </row>
    <row r="106" spans="1:9" ht="12.75">
      <c r="A106" s="5">
        <f t="shared" si="12"/>
      </c>
      <c r="B106" s="6">
        <f t="shared" si="13"/>
      </c>
      <c r="C106" s="7">
        <f t="shared" si="14"/>
      </c>
      <c r="D106" s="9">
        <v>0</v>
      </c>
      <c r="E106" s="7">
        <f t="shared" si="15"/>
      </c>
      <c r="F106" s="7">
        <f t="shared" si="16"/>
      </c>
      <c r="G106" s="7">
        <f t="shared" si="17"/>
      </c>
      <c r="H106" s="7"/>
      <c r="I106" s="7"/>
    </row>
    <row r="107" spans="1:9" ht="12.75">
      <c r="A107" s="5">
        <f t="shared" si="12"/>
      </c>
      <c r="B107" s="6">
        <f t="shared" si="13"/>
      </c>
      <c r="C107" s="7">
        <f t="shared" si="14"/>
      </c>
      <c r="D107" s="9">
        <v>0</v>
      </c>
      <c r="E107" s="7">
        <f t="shared" si="15"/>
      </c>
      <c r="F107" s="7">
        <f t="shared" si="16"/>
      </c>
      <c r="G107" s="7">
        <f t="shared" si="17"/>
      </c>
      <c r="H107" s="7"/>
      <c r="I107" s="7"/>
    </row>
    <row r="108" spans="1:9" ht="12.75">
      <c r="A108" s="5">
        <f t="shared" si="12"/>
      </c>
      <c r="B108" s="6">
        <f t="shared" si="13"/>
      </c>
      <c r="C108" s="7">
        <f t="shared" si="14"/>
      </c>
      <c r="D108" s="9">
        <v>0</v>
      </c>
      <c r="E108" s="7">
        <f t="shared" si="15"/>
      </c>
      <c r="F108" s="7">
        <f t="shared" si="16"/>
      </c>
      <c r="G108" s="7">
        <f t="shared" si="17"/>
      </c>
      <c r="H108" s="7"/>
      <c r="I108" s="7"/>
    </row>
    <row r="109" spans="1:9" ht="12.75">
      <c r="A109" s="5">
        <f t="shared" si="12"/>
      </c>
      <c r="B109" s="6">
        <f t="shared" si="13"/>
      </c>
      <c r="C109" s="7">
        <f t="shared" si="14"/>
      </c>
      <c r="D109" s="9">
        <v>0</v>
      </c>
      <c r="E109" s="7">
        <f t="shared" si="15"/>
      </c>
      <c r="F109" s="7">
        <f t="shared" si="16"/>
      </c>
      <c r="G109" s="7">
        <f t="shared" si="17"/>
      </c>
      <c r="H109" s="7"/>
      <c r="I109" s="7"/>
    </row>
    <row r="110" spans="1:9" ht="12.75">
      <c r="A110" s="5">
        <f t="shared" si="12"/>
      </c>
      <c r="B110" s="6">
        <f t="shared" si="13"/>
      </c>
      <c r="C110" s="7">
        <f t="shared" si="14"/>
      </c>
      <c r="D110" s="9">
        <v>0</v>
      </c>
      <c r="E110" s="7">
        <f t="shared" si="15"/>
      </c>
      <c r="F110" s="7">
        <f t="shared" si="16"/>
      </c>
      <c r="G110" s="7">
        <f t="shared" si="17"/>
      </c>
      <c r="H110" s="7"/>
      <c r="I110" s="7"/>
    </row>
    <row r="111" spans="1:9" ht="12.75">
      <c r="A111" s="5">
        <f t="shared" si="12"/>
      </c>
      <c r="B111" s="6">
        <f t="shared" si="13"/>
      </c>
      <c r="C111" s="7">
        <f t="shared" si="14"/>
      </c>
      <c r="D111" s="9">
        <v>0</v>
      </c>
      <c r="E111" s="7">
        <f t="shared" si="15"/>
      </c>
      <c r="F111" s="7">
        <f t="shared" si="16"/>
      </c>
      <c r="G111" s="7">
        <f t="shared" si="17"/>
      </c>
      <c r="H111" s="7"/>
      <c r="I111" s="7"/>
    </row>
    <row r="112" spans="1:9" ht="12.75">
      <c r="A112" s="5">
        <f t="shared" si="12"/>
      </c>
      <c r="B112" s="6">
        <f t="shared" si="13"/>
      </c>
      <c r="C112" s="7">
        <f t="shared" si="14"/>
      </c>
      <c r="D112" s="9">
        <v>0</v>
      </c>
      <c r="E112" s="7">
        <f t="shared" si="15"/>
      </c>
      <c r="F112" s="7">
        <f t="shared" si="16"/>
      </c>
      <c r="G112" s="7">
        <f t="shared" si="17"/>
      </c>
      <c r="H112" s="7"/>
      <c r="I112" s="7"/>
    </row>
    <row r="113" spans="1:9" ht="12.75">
      <c r="A113" s="5">
        <f t="shared" si="12"/>
      </c>
      <c r="B113" s="6">
        <f t="shared" si="13"/>
      </c>
      <c r="C113" s="7">
        <f t="shared" si="14"/>
      </c>
      <c r="D113" s="9">
        <v>0</v>
      </c>
      <c r="E113" s="7">
        <f t="shared" si="15"/>
      </c>
      <c r="F113" s="7">
        <f t="shared" si="16"/>
      </c>
      <c r="G113" s="7">
        <f t="shared" si="17"/>
      </c>
      <c r="H113" s="7"/>
      <c r="I113" s="7"/>
    </row>
    <row r="114" spans="1:9" ht="12.75">
      <c r="A114" s="5">
        <f t="shared" si="12"/>
      </c>
      <c r="B114" s="6">
        <f t="shared" si="13"/>
      </c>
      <c r="C114" s="7">
        <f t="shared" si="14"/>
      </c>
      <c r="D114" s="9">
        <v>0</v>
      </c>
      <c r="E114" s="7">
        <f t="shared" si="15"/>
      </c>
      <c r="F114" s="7">
        <f t="shared" si="16"/>
      </c>
      <c r="G114" s="7">
        <f t="shared" si="17"/>
      </c>
      <c r="H114" s="7"/>
      <c r="I114" s="7"/>
    </row>
    <row r="115" spans="1:9" ht="12.75">
      <c r="A115" s="5">
        <f t="shared" si="12"/>
      </c>
      <c r="B115" s="6">
        <f t="shared" si="13"/>
      </c>
      <c r="C115" s="7">
        <f t="shared" si="14"/>
      </c>
      <c r="D115" s="9">
        <v>0</v>
      </c>
      <c r="E115" s="7">
        <f t="shared" si="15"/>
      </c>
      <c r="F115" s="7">
        <f t="shared" si="16"/>
      </c>
      <c r="G115" s="7">
        <f t="shared" si="17"/>
      </c>
      <c r="H115" s="7"/>
      <c r="I115" s="7"/>
    </row>
    <row r="116" spans="1:9" ht="12.75">
      <c r="A116" s="5">
        <f t="shared" si="12"/>
      </c>
      <c r="B116" s="6">
        <f t="shared" si="13"/>
      </c>
      <c r="C116" s="7">
        <f t="shared" si="14"/>
      </c>
      <c r="D116" s="9">
        <v>0</v>
      </c>
      <c r="E116" s="7">
        <f t="shared" si="15"/>
      </c>
      <c r="F116" s="7">
        <f t="shared" si="16"/>
      </c>
      <c r="G116" s="7">
        <f t="shared" si="17"/>
      </c>
      <c r="H116" s="7"/>
      <c r="I116" s="7"/>
    </row>
    <row r="117" spans="1:9" ht="12.75">
      <c r="A117" s="5">
        <f aca="true" t="shared" si="18" ref="A117:A148">IF(G116="","",IF(OR(A116&gt;=nper,ROUND(G116,2)&lt;=0),"",A116+1))</f>
      </c>
      <c r="B117" s="6">
        <f t="shared" si="13"/>
      </c>
      <c r="C117" s="7">
        <f t="shared" si="14"/>
      </c>
      <c r="D117" s="9">
        <v>0</v>
      </c>
      <c r="E117" s="7">
        <f t="shared" si="15"/>
      </c>
      <c r="F117" s="7">
        <f t="shared" si="16"/>
      </c>
      <c r="G117" s="7">
        <f t="shared" si="17"/>
      </c>
      <c r="H117" s="7"/>
      <c r="I117" s="7"/>
    </row>
    <row r="118" spans="1:9" ht="12.75">
      <c r="A118" s="5">
        <f t="shared" si="18"/>
      </c>
      <c r="B118" s="6">
        <f t="shared" si="13"/>
      </c>
      <c r="C118" s="7">
        <f t="shared" si="14"/>
      </c>
      <c r="D118" s="9">
        <v>0</v>
      </c>
      <c r="E118" s="7">
        <f t="shared" si="15"/>
      </c>
      <c r="F118" s="7">
        <f t="shared" si="16"/>
      </c>
      <c r="G118" s="7">
        <f t="shared" si="17"/>
      </c>
      <c r="H118" s="7"/>
      <c r="I118" s="7"/>
    </row>
    <row r="119" spans="1:9" ht="12.75">
      <c r="A119" s="5">
        <f t="shared" si="18"/>
      </c>
      <c r="B119" s="6">
        <f t="shared" si="13"/>
      </c>
      <c r="C119" s="7">
        <f t="shared" si="14"/>
      </c>
      <c r="D119" s="9">
        <v>0</v>
      </c>
      <c r="E119" s="7">
        <f t="shared" si="15"/>
      </c>
      <c r="F119" s="7">
        <f t="shared" si="16"/>
      </c>
      <c r="G119" s="7">
        <f t="shared" si="17"/>
      </c>
      <c r="H119" s="7"/>
      <c r="I119" s="7"/>
    </row>
    <row r="120" spans="1:9" ht="12.75">
      <c r="A120" s="5">
        <f t="shared" si="18"/>
      </c>
      <c r="B120" s="6">
        <f t="shared" si="13"/>
      </c>
      <c r="C120" s="7">
        <f t="shared" si="14"/>
      </c>
      <c r="D120" s="9">
        <v>0</v>
      </c>
      <c r="E120" s="7">
        <f t="shared" si="15"/>
      </c>
      <c r="F120" s="7">
        <f t="shared" si="16"/>
      </c>
      <c r="G120" s="7">
        <f t="shared" si="17"/>
      </c>
      <c r="H120" s="7"/>
      <c r="I120" s="7"/>
    </row>
    <row r="121" spans="1:9" ht="12.75">
      <c r="A121" s="5">
        <f t="shared" si="18"/>
      </c>
      <c r="B121" s="6">
        <f t="shared" si="13"/>
      </c>
      <c r="C121" s="7">
        <f t="shared" si="14"/>
      </c>
      <c r="D121" s="9">
        <v>0</v>
      </c>
      <c r="E121" s="7">
        <f t="shared" si="15"/>
      </c>
      <c r="F121" s="7">
        <f t="shared" si="16"/>
      </c>
      <c r="G121" s="7">
        <f t="shared" si="17"/>
      </c>
      <c r="H121" s="7"/>
      <c r="I121" s="7"/>
    </row>
    <row r="122" spans="1:9" ht="12.75">
      <c r="A122" s="5">
        <f t="shared" si="18"/>
      </c>
      <c r="B122" s="6">
        <f t="shared" si="13"/>
      </c>
      <c r="C122" s="7">
        <f t="shared" si="14"/>
      </c>
      <c r="D122" s="9">
        <v>0</v>
      </c>
      <c r="E122" s="7">
        <f t="shared" si="15"/>
      </c>
      <c r="F122" s="7">
        <f t="shared" si="16"/>
      </c>
      <c r="G122" s="7">
        <f t="shared" si="17"/>
      </c>
      <c r="H122" s="7"/>
      <c r="I122" s="7"/>
    </row>
    <row r="123" spans="1:9" ht="12.75">
      <c r="A123" s="5">
        <f t="shared" si="18"/>
      </c>
      <c r="B123" s="6">
        <f t="shared" si="13"/>
      </c>
      <c r="C123" s="7">
        <f t="shared" si="14"/>
      </c>
      <c r="D123" s="9">
        <v>0</v>
      </c>
      <c r="E123" s="7">
        <f t="shared" si="15"/>
      </c>
      <c r="F123" s="7">
        <f t="shared" si="16"/>
      </c>
      <c r="G123" s="7">
        <f t="shared" si="17"/>
      </c>
      <c r="H123" s="7"/>
      <c r="I123" s="7"/>
    </row>
    <row r="124" spans="1:9" ht="12.75">
      <c r="A124" s="5">
        <f t="shared" si="18"/>
      </c>
      <c r="B124" s="6">
        <f t="shared" si="13"/>
      </c>
      <c r="C124" s="7">
        <f t="shared" si="14"/>
      </c>
      <c r="D124" s="9">
        <v>0</v>
      </c>
      <c r="E124" s="7">
        <f t="shared" si="15"/>
      </c>
      <c r="F124" s="7">
        <f t="shared" si="16"/>
      </c>
      <c r="G124" s="7">
        <f t="shared" si="17"/>
      </c>
      <c r="H124" s="7"/>
      <c r="I124" s="7"/>
    </row>
    <row r="125" spans="1:9" ht="12.75">
      <c r="A125" s="5">
        <f t="shared" si="18"/>
      </c>
      <c r="B125" s="6">
        <f t="shared" si="13"/>
      </c>
      <c r="C125" s="7">
        <f t="shared" si="14"/>
      </c>
      <c r="D125" s="9">
        <v>0</v>
      </c>
      <c r="E125" s="7">
        <f t="shared" si="15"/>
      </c>
      <c r="F125" s="7">
        <f t="shared" si="16"/>
      </c>
      <c r="G125" s="7">
        <f t="shared" si="17"/>
      </c>
      <c r="H125" s="7"/>
      <c r="I125" s="7"/>
    </row>
    <row r="126" spans="1:9" ht="12.75">
      <c r="A126" s="5">
        <f t="shared" si="18"/>
      </c>
      <c r="B126" s="6">
        <f t="shared" si="13"/>
      </c>
      <c r="C126" s="7">
        <f t="shared" si="14"/>
      </c>
      <c r="D126" s="9">
        <v>0</v>
      </c>
      <c r="E126" s="7">
        <f t="shared" si="15"/>
      </c>
      <c r="F126" s="7">
        <f t="shared" si="16"/>
      </c>
      <c r="G126" s="7">
        <f t="shared" si="17"/>
      </c>
      <c r="H126" s="7"/>
      <c r="I126" s="7"/>
    </row>
    <row r="127" spans="1:9" ht="12.75">
      <c r="A127" s="5">
        <f t="shared" si="18"/>
      </c>
      <c r="B127" s="6">
        <f t="shared" si="13"/>
      </c>
      <c r="C127" s="7">
        <f t="shared" si="14"/>
      </c>
      <c r="D127" s="9">
        <v>0</v>
      </c>
      <c r="E127" s="7">
        <f t="shared" si="15"/>
      </c>
      <c r="F127" s="7">
        <f t="shared" si="16"/>
      </c>
      <c r="G127" s="7">
        <f t="shared" si="17"/>
      </c>
      <c r="H127" s="7"/>
      <c r="I127" s="7"/>
    </row>
    <row r="128" spans="1:9" ht="12.75">
      <c r="A128" s="5">
        <f t="shared" si="18"/>
      </c>
      <c r="B128" s="6">
        <f t="shared" si="13"/>
      </c>
      <c r="C128" s="7">
        <f t="shared" si="14"/>
      </c>
      <c r="D128" s="9">
        <v>0</v>
      </c>
      <c r="E128" s="7">
        <f t="shared" si="15"/>
      </c>
      <c r="F128" s="7">
        <f t="shared" si="16"/>
      </c>
      <c r="G128" s="7">
        <f t="shared" si="17"/>
      </c>
      <c r="H128" s="7"/>
      <c r="I128" s="7"/>
    </row>
    <row r="129" spans="1:9" ht="12.75">
      <c r="A129" s="5">
        <f t="shared" si="18"/>
      </c>
      <c r="B129" s="6">
        <f t="shared" si="13"/>
      </c>
      <c r="C129" s="7">
        <f t="shared" si="14"/>
      </c>
      <c r="D129" s="9">
        <v>0</v>
      </c>
      <c r="E129" s="7">
        <f t="shared" si="15"/>
      </c>
      <c r="F129" s="7">
        <f t="shared" si="16"/>
      </c>
      <c r="G129" s="7">
        <f t="shared" si="17"/>
      </c>
      <c r="H129" s="7"/>
      <c r="I129" s="7"/>
    </row>
    <row r="130" spans="1:9" ht="12.75">
      <c r="A130" s="5">
        <f t="shared" si="18"/>
      </c>
      <c r="B130" s="6">
        <f t="shared" si="13"/>
      </c>
      <c r="C130" s="7">
        <f t="shared" si="14"/>
      </c>
      <c r="D130" s="9">
        <v>0</v>
      </c>
      <c r="E130" s="7">
        <f t="shared" si="15"/>
      </c>
      <c r="F130" s="7">
        <f t="shared" si="16"/>
      </c>
      <c r="G130" s="7">
        <f t="shared" si="17"/>
      </c>
      <c r="H130" s="7"/>
      <c r="I130" s="7"/>
    </row>
    <row r="131" spans="1:9" ht="12.75">
      <c r="A131" s="5">
        <f t="shared" si="18"/>
      </c>
      <c r="B131" s="6">
        <f t="shared" si="13"/>
      </c>
      <c r="C131" s="7">
        <f t="shared" si="14"/>
      </c>
      <c r="D131" s="9">
        <v>0</v>
      </c>
      <c r="E131" s="7">
        <f t="shared" si="15"/>
      </c>
      <c r="F131" s="7">
        <f t="shared" si="16"/>
      </c>
      <c r="G131" s="7">
        <f t="shared" si="17"/>
      </c>
      <c r="H131" s="7"/>
      <c r="I131" s="7"/>
    </row>
    <row r="132" spans="1:9" ht="12.75">
      <c r="A132" s="5">
        <f t="shared" si="18"/>
      </c>
      <c r="B132" s="6">
        <f t="shared" si="13"/>
      </c>
      <c r="C132" s="7">
        <f t="shared" si="14"/>
      </c>
      <c r="D132" s="9">
        <v>0</v>
      </c>
      <c r="E132" s="7">
        <f t="shared" si="15"/>
      </c>
      <c r="F132" s="7">
        <f t="shared" si="16"/>
      </c>
      <c r="G132" s="7">
        <f t="shared" si="17"/>
      </c>
      <c r="H132" s="7"/>
      <c r="I132" s="7"/>
    </row>
    <row r="133" spans="1:9" ht="12.75">
      <c r="A133" s="5">
        <f t="shared" si="18"/>
      </c>
      <c r="B133" s="6">
        <f t="shared" si="13"/>
      </c>
      <c r="C133" s="7">
        <f t="shared" si="14"/>
      </c>
      <c r="D133" s="9">
        <v>0</v>
      </c>
      <c r="E133" s="7">
        <f t="shared" si="15"/>
      </c>
      <c r="F133" s="7">
        <f t="shared" si="16"/>
      </c>
      <c r="G133" s="7">
        <f t="shared" si="17"/>
      </c>
      <c r="H133" s="7"/>
      <c r="I133" s="7"/>
    </row>
    <row r="134" spans="1:9" ht="12.75">
      <c r="A134" s="5">
        <f t="shared" si="18"/>
      </c>
      <c r="B134" s="6">
        <f t="shared" si="13"/>
      </c>
      <c r="C134" s="7">
        <f t="shared" si="14"/>
      </c>
      <c r="D134" s="9">
        <v>0</v>
      </c>
      <c r="E134" s="7">
        <f t="shared" si="15"/>
      </c>
      <c r="F134" s="7">
        <f t="shared" si="16"/>
      </c>
      <c r="G134" s="7">
        <f t="shared" si="17"/>
      </c>
      <c r="H134" s="7"/>
      <c r="I134" s="7"/>
    </row>
    <row r="135" spans="1:9" ht="12.75">
      <c r="A135" s="5">
        <f t="shared" si="18"/>
      </c>
      <c r="B135" s="6">
        <f t="shared" si="13"/>
      </c>
      <c r="C135" s="7">
        <f t="shared" si="14"/>
      </c>
      <c r="D135" s="9">
        <v>0</v>
      </c>
      <c r="E135" s="7">
        <f t="shared" si="15"/>
      </c>
      <c r="F135" s="7">
        <f t="shared" si="16"/>
      </c>
      <c r="G135" s="7">
        <f t="shared" si="17"/>
      </c>
      <c r="H135" s="7"/>
      <c r="I135" s="7"/>
    </row>
    <row r="136" spans="1:9" ht="12.75">
      <c r="A136" s="5">
        <f t="shared" si="18"/>
      </c>
      <c r="B136" s="6">
        <f t="shared" si="13"/>
      </c>
      <c r="C136" s="7">
        <f t="shared" si="14"/>
      </c>
      <c r="D136" s="9">
        <v>0</v>
      </c>
      <c r="E136" s="7">
        <f t="shared" si="15"/>
      </c>
      <c r="F136" s="7">
        <f t="shared" si="16"/>
      </c>
      <c r="G136" s="7">
        <f t="shared" si="17"/>
      </c>
      <c r="H136" s="7"/>
      <c r="I136" s="7"/>
    </row>
    <row r="137" spans="1:9" ht="12.75">
      <c r="A137" s="5">
        <f t="shared" si="18"/>
      </c>
      <c r="B137" s="6">
        <f t="shared" si="13"/>
      </c>
      <c r="C137" s="7">
        <f t="shared" si="14"/>
      </c>
      <c r="D137" s="9">
        <v>0</v>
      </c>
      <c r="E137" s="7">
        <f t="shared" si="15"/>
      </c>
      <c r="F137" s="7">
        <f t="shared" si="16"/>
      </c>
      <c r="G137" s="7">
        <f t="shared" si="17"/>
      </c>
      <c r="H137" s="7"/>
      <c r="I137" s="7"/>
    </row>
    <row r="138" spans="1:9" ht="12.75">
      <c r="A138" s="5">
        <f t="shared" si="18"/>
      </c>
      <c r="B138" s="6">
        <f t="shared" si="13"/>
      </c>
      <c r="C138" s="7">
        <f t="shared" si="14"/>
      </c>
      <c r="D138" s="9">
        <v>0</v>
      </c>
      <c r="E138" s="7">
        <f t="shared" si="15"/>
      </c>
      <c r="F138" s="7">
        <f t="shared" si="16"/>
      </c>
      <c r="G138" s="7">
        <f t="shared" si="17"/>
      </c>
      <c r="H138" s="7"/>
      <c r="I138" s="7"/>
    </row>
    <row r="139" spans="1:9" ht="12.75">
      <c r="A139" s="5">
        <f t="shared" si="18"/>
      </c>
      <c r="B139" s="6">
        <f t="shared" si="13"/>
      </c>
      <c r="C139" s="7">
        <f t="shared" si="14"/>
      </c>
      <c r="D139" s="9">
        <v>0</v>
      </c>
      <c r="E139" s="7">
        <f t="shared" si="15"/>
      </c>
      <c r="F139" s="7">
        <f t="shared" si="16"/>
      </c>
      <c r="G139" s="7">
        <f t="shared" si="17"/>
      </c>
      <c r="H139" s="7"/>
      <c r="I139" s="7"/>
    </row>
    <row r="140" spans="1:9" ht="12.75">
      <c r="A140" s="5">
        <f t="shared" si="18"/>
      </c>
      <c r="B140" s="6">
        <f t="shared" si="13"/>
      </c>
      <c r="C140" s="7">
        <f t="shared" si="14"/>
      </c>
      <c r="D140" s="9">
        <v>0</v>
      </c>
      <c r="E140" s="7">
        <f t="shared" si="15"/>
      </c>
      <c r="F140" s="7">
        <f t="shared" si="16"/>
      </c>
      <c r="G140" s="7">
        <f t="shared" si="17"/>
      </c>
      <c r="H140" s="7"/>
      <c r="I140" s="7"/>
    </row>
    <row r="141" spans="1:9" ht="12.75">
      <c r="A141" s="5">
        <f t="shared" si="18"/>
      </c>
      <c r="B141" s="6">
        <f t="shared" si="13"/>
      </c>
      <c r="C141" s="7">
        <f t="shared" si="14"/>
      </c>
      <c r="D141" s="9">
        <v>0</v>
      </c>
      <c r="E141" s="7">
        <f t="shared" si="15"/>
      </c>
      <c r="F141" s="7">
        <f t="shared" si="16"/>
      </c>
      <c r="G141" s="7">
        <f t="shared" si="17"/>
      </c>
      <c r="H141" s="7"/>
      <c r="I141" s="7"/>
    </row>
    <row r="142" spans="1:9" ht="12.75">
      <c r="A142" s="5">
        <f t="shared" si="18"/>
      </c>
      <c r="B142" s="6">
        <f t="shared" si="13"/>
      </c>
      <c r="C142" s="7">
        <f t="shared" si="14"/>
      </c>
      <c r="D142" s="9">
        <v>0</v>
      </c>
      <c r="E142" s="7">
        <f t="shared" si="15"/>
      </c>
      <c r="F142" s="7">
        <f t="shared" si="16"/>
      </c>
      <c r="G142" s="7">
        <f t="shared" si="17"/>
      </c>
      <c r="H142" s="7"/>
      <c r="I142" s="7"/>
    </row>
    <row r="143" spans="1:9" ht="12.75">
      <c r="A143" s="5">
        <f t="shared" si="18"/>
      </c>
      <c r="B143" s="6">
        <f t="shared" si="13"/>
      </c>
      <c r="C143" s="7">
        <f t="shared" si="14"/>
      </c>
      <c r="D143" s="9">
        <v>0</v>
      </c>
      <c r="E143" s="7">
        <f t="shared" si="15"/>
      </c>
      <c r="F143" s="7">
        <f t="shared" si="16"/>
      </c>
      <c r="G143" s="7">
        <f t="shared" si="17"/>
      </c>
      <c r="H143" s="7"/>
      <c r="I143" s="7"/>
    </row>
    <row r="144" spans="1:9" ht="12.75">
      <c r="A144" s="5">
        <f t="shared" si="18"/>
      </c>
      <c r="B144" s="6">
        <f t="shared" si="13"/>
      </c>
      <c r="C144" s="7">
        <f t="shared" si="14"/>
      </c>
      <c r="D144" s="9">
        <v>0</v>
      </c>
      <c r="E144" s="7">
        <f t="shared" si="15"/>
      </c>
      <c r="F144" s="7">
        <f t="shared" si="16"/>
      </c>
      <c r="G144" s="7">
        <f t="shared" si="17"/>
      </c>
      <c r="H144" s="7"/>
      <c r="I144" s="7"/>
    </row>
    <row r="145" spans="1:9" ht="12.75">
      <c r="A145" s="5">
        <f t="shared" si="18"/>
      </c>
      <c r="B145" s="6">
        <f t="shared" si="13"/>
      </c>
      <c r="C145" s="7">
        <f t="shared" si="14"/>
      </c>
      <c r="D145" s="9">
        <v>0</v>
      </c>
      <c r="E145" s="7">
        <f t="shared" si="15"/>
      </c>
      <c r="F145" s="7">
        <f t="shared" si="16"/>
      </c>
      <c r="G145" s="7">
        <f t="shared" si="17"/>
      </c>
      <c r="H145" s="7"/>
      <c r="I145" s="7"/>
    </row>
    <row r="146" spans="1:9" ht="12.75">
      <c r="A146" s="5">
        <f t="shared" si="18"/>
      </c>
      <c r="B146" s="6">
        <f t="shared" si="13"/>
      </c>
      <c r="C146" s="7">
        <f t="shared" si="14"/>
      </c>
      <c r="D146" s="9">
        <v>0</v>
      </c>
      <c r="E146" s="7">
        <f t="shared" si="15"/>
      </c>
      <c r="F146" s="7">
        <f t="shared" si="16"/>
      </c>
      <c r="G146" s="7">
        <f t="shared" si="17"/>
      </c>
      <c r="H146" s="7"/>
      <c r="I146" s="7"/>
    </row>
    <row r="147" spans="1:9" ht="12.75">
      <c r="A147" s="5">
        <f t="shared" si="18"/>
      </c>
      <c r="B147" s="6">
        <f t="shared" si="13"/>
      </c>
      <c r="C147" s="7">
        <f t="shared" si="14"/>
      </c>
      <c r="D147" s="9">
        <v>0</v>
      </c>
      <c r="E147" s="7">
        <f t="shared" si="15"/>
      </c>
      <c r="F147" s="7">
        <f t="shared" si="16"/>
      </c>
      <c r="G147" s="7">
        <f t="shared" si="17"/>
      </c>
      <c r="H147" s="7"/>
      <c r="I147" s="7"/>
    </row>
    <row r="148" spans="1:9" ht="12.75">
      <c r="A148" s="5">
        <f t="shared" si="18"/>
      </c>
      <c r="B148" s="6">
        <f t="shared" si="13"/>
      </c>
      <c r="C148" s="7">
        <f t="shared" si="14"/>
      </c>
      <c r="D148" s="9">
        <v>0</v>
      </c>
      <c r="E148" s="7">
        <f t="shared" si="15"/>
      </c>
      <c r="F148" s="7">
        <f t="shared" si="16"/>
      </c>
      <c r="G148" s="7">
        <f t="shared" si="17"/>
      </c>
      <c r="H148" s="7"/>
      <c r="I148" s="7"/>
    </row>
    <row r="149" spans="1:9" ht="12.75">
      <c r="A149" s="5">
        <f aca="true" t="shared" si="19" ref="A149:A176">IF(G148="","",IF(OR(A148&gt;=nper,ROUND(G148,2)&lt;=0),"",A148+1))</f>
      </c>
      <c r="B149" s="6">
        <f aca="true" t="shared" si="20" ref="B149:B176">IF(A149="","",IF(periods_per_year=26,IF(A149=1,fpdate,B148+14),IF(periods_per_year=52,IF(A149=1,fpdate,B148+7),DATE(YEAR(fpdate),MONTH(fpdate)+(A149-1)*months_per_period,IF(periods_per_year=24,IF((1-MOD(A149,2))=1,DAY(fpdate)+14,DAY(fpdate)),DAY(fpdate))))))</f>
      </c>
      <c r="C149" s="7">
        <f aca="true" t="shared" si="21" ref="C149:C176">IF(A149="","",IF(OR(A149=nper,payment&gt;ROUND((1+rate)*G148,2)),ROUND((1+rate)*G148,2),payment))</f>
      </c>
      <c r="D149" s="9">
        <v>0</v>
      </c>
      <c r="E149" s="7">
        <f aca="true" t="shared" si="22" ref="E149:E176">IF(A149="","",ROUND(rate*G148,2))</f>
      </c>
      <c r="F149" s="7">
        <f aca="true" t="shared" si="23" ref="F149:F176">IF(A149="","",C149-E149+D149)</f>
      </c>
      <c r="G149" s="7">
        <f aca="true" t="shared" si="24" ref="G149:G176">IF(A149="","",G148-F149)</f>
      </c>
      <c r="H149" s="7"/>
      <c r="I149" s="7"/>
    </row>
    <row r="150" spans="1:9" ht="12.75">
      <c r="A150" s="5">
        <f t="shared" si="19"/>
      </c>
      <c r="B150" s="6">
        <f t="shared" si="20"/>
      </c>
      <c r="C150" s="7">
        <f t="shared" si="21"/>
      </c>
      <c r="D150" s="9">
        <v>0</v>
      </c>
      <c r="E150" s="7">
        <f t="shared" si="22"/>
      </c>
      <c r="F150" s="7">
        <f t="shared" si="23"/>
      </c>
      <c r="G150" s="7">
        <f t="shared" si="24"/>
      </c>
      <c r="H150" s="7"/>
      <c r="I150" s="7"/>
    </row>
    <row r="151" spans="1:9" ht="12.75">
      <c r="A151" s="5">
        <f t="shared" si="19"/>
      </c>
      <c r="B151" s="6">
        <f t="shared" si="20"/>
      </c>
      <c r="C151" s="7">
        <f t="shared" si="21"/>
      </c>
      <c r="D151" s="9">
        <v>0</v>
      </c>
      <c r="E151" s="7">
        <f t="shared" si="22"/>
      </c>
      <c r="F151" s="7">
        <f t="shared" si="23"/>
      </c>
      <c r="G151" s="7">
        <f t="shared" si="24"/>
      </c>
      <c r="H151" s="7"/>
      <c r="I151" s="7"/>
    </row>
    <row r="152" spans="1:9" ht="12.75">
      <c r="A152" s="5">
        <f t="shared" si="19"/>
      </c>
      <c r="B152" s="6">
        <f t="shared" si="20"/>
      </c>
      <c r="C152" s="7">
        <f t="shared" si="21"/>
      </c>
      <c r="D152" s="9">
        <v>0</v>
      </c>
      <c r="E152" s="7">
        <f t="shared" si="22"/>
      </c>
      <c r="F152" s="7">
        <f t="shared" si="23"/>
      </c>
      <c r="G152" s="7">
        <f t="shared" si="24"/>
      </c>
      <c r="H152" s="7"/>
      <c r="I152" s="7"/>
    </row>
    <row r="153" spans="1:9" ht="12.75">
      <c r="A153" s="5">
        <f t="shared" si="19"/>
      </c>
      <c r="B153" s="6">
        <f t="shared" si="20"/>
      </c>
      <c r="C153" s="7">
        <f t="shared" si="21"/>
      </c>
      <c r="D153" s="9">
        <v>0</v>
      </c>
      <c r="E153" s="7">
        <f t="shared" si="22"/>
      </c>
      <c r="F153" s="7">
        <f t="shared" si="23"/>
      </c>
      <c r="G153" s="7">
        <f t="shared" si="24"/>
      </c>
      <c r="H153" s="7"/>
      <c r="I153" s="7"/>
    </row>
    <row r="154" spans="1:9" ht="12.75">
      <c r="A154" s="5">
        <f t="shared" si="19"/>
      </c>
      <c r="B154" s="6">
        <f t="shared" si="20"/>
      </c>
      <c r="C154" s="7">
        <f t="shared" si="21"/>
      </c>
      <c r="D154" s="9">
        <v>0</v>
      </c>
      <c r="E154" s="7">
        <f t="shared" si="22"/>
      </c>
      <c r="F154" s="7">
        <f t="shared" si="23"/>
      </c>
      <c r="G154" s="7">
        <f t="shared" si="24"/>
      </c>
      <c r="H154" s="7"/>
      <c r="I154" s="7"/>
    </row>
    <row r="155" spans="1:9" ht="12.75">
      <c r="A155" s="5">
        <f t="shared" si="19"/>
      </c>
      <c r="B155" s="6">
        <f t="shared" si="20"/>
      </c>
      <c r="C155" s="7">
        <f t="shared" si="21"/>
      </c>
      <c r="D155" s="9">
        <v>0</v>
      </c>
      <c r="E155" s="7">
        <f t="shared" si="22"/>
      </c>
      <c r="F155" s="7">
        <f t="shared" si="23"/>
      </c>
      <c r="G155" s="7">
        <f t="shared" si="24"/>
      </c>
      <c r="H155" s="7"/>
      <c r="I155" s="7"/>
    </row>
    <row r="156" spans="1:9" ht="12.75">
      <c r="A156" s="5">
        <f t="shared" si="19"/>
      </c>
      <c r="B156" s="6">
        <f t="shared" si="20"/>
      </c>
      <c r="C156" s="7">
        <f t="shared" si="21"/>
      </c>
      <c r="D156" s="9">
        <v>0</v>
      </c>
      <c r="E156" s="7">
        <f t="shared" si="22"/>
      </c>
      <c r="F156" s="7">
        <f t="shared" si="23"/>
      </c>
      <c r="G156" s="7">
        <f t="shared" si="24"/>
      </c>
      <c r="H156" s="7"/>
      <c r="I156" s="7"/>
    </row>
    <row r="157" spans="1:9" ht="12.75">
      <c r="A157" s="5">
        <f t="shared" si="19"/>
      </c>
      <c r="B157" s="6">
        <f t="shared" si="20"/>
      </c>
      <c r="C157" s="7">
        <f t="shared" si="21"/>
      </c>
      <c r="D157" s="9">
        <v>0</v>
      </c>
      <c r="E157" s="7">
        <f t="shared" si="22"/>
      </c>
      <c r="F157" s="7">
        <f t="shared" si="23"/>
      </c>
      <c r="G157" s="7">
        <f t="shared" si="24"/>
      </c>
      <c r="H157" s="7"/>
      <c r="I157" s="7"/>
    </row>
    <row r="158" spans="1:9" ht="12.75">
      <c r="A158" s="5">
        <f t="shared" si="19"/>
      </c>
      <c r="B158" s="6">
        <f t="shared" si="20"/>
      </c>
      <c r="C158" s="7">
        <f t="shared" si="21"/>
      </c>
      <c r="D158" s="9">
        <v>0</v>
      </c>
      <c r="E158" s="7">
        <f t="shared" si="22"/>
      </c>
      <c r="F158" s="7">
        <f t="shared" si="23"/>
      </c>
      <c r="G158" s="7">
        <f t="shared" si="24"/>
      </c>
      <c r="H158" s="7"/>
      <c r="I158" s="7"/>
    </row>
    <row r="159" spans="1:9" ht="12.75">
      <c r="A159" s="5">
        <f t="shared" si="19"/>
      </c>
      <c r="B159" s="6">
        <f t="shared" si="20"/>
      </c>
      <c r="C159" s="7">
        <f t="shared" si="21"/>
      </c>
      <c r="D159" s="9">
        <v>0</v>
      </c>
      <c r="E159" s="7">
        <f t="shared" si="22"/>
      </c>
      <c r="F159" s="7">
        <f t="shared" si="23"/>
      </c>
      <c r="G159" s="7">
        <f t="shared" si="24"/>
      </c>
      <c r="H159" s="7"/>
      <c r="I159" s="7"/>
    </row>
    <row r="160" spans="1:9" ht="12.75">
      <c r="A160" s="5">
        <f t="shared" si="19"/>
      </c>
      <c r="B160" s="6">
        <f t="shared" si="20"/>
      </c>
      <c r="C160" s="7">
        <f t="shared" si="21"/>
      </c>
      <c r="D160" s="9">
        <v>0</v>
      </c>
      <c r="E160" s="7">
        <f t="shared" si="22"/>
      </c>
      <c r="F160" s="7">
        <f t="shared" si="23"/>
      </c>
      <c r="G160" s="7">
        <f t="shared" si="24"/>
      </c>
      <c r="H160" s="7"/>
      <c r="I160" s="7"/>
    </row>
    <row r="161" spans="1:9" ht="12.75">
      <c r="A161" s="5">
        <f t="shared" si="19"/>
      </c>
      <c r="B161" s="6">
        <f t="shared" si="20"/>
      </c>
      <c r="C161" s="7">
        <f t="shared" si="21"/>
      </c>
      <c r="D161" s="9">
        <v>0</v>
      </c>
      <c r="E161" s="7">
        <f t="shared" si="22"/>
      </c>
      <c r="F161" s="7">
        <f t="shared" si="23"/>
      </c>
      <c r="G161" s="7">
        <f t="shared" si="24"/>
      </c>
      <c r="H161" s="7"/>
      <c r="I161" s="7"/>
    </row>
    <row r="162" spans="1:9" ht="12.75">
      <c r="A162" s="5">
        <f t="shared" si="19"/>
      </c>
      <c r="B162" s="6">
        <f t="shared" si="20"/>
      </c>
      <c r="C162" s="7">
        <f t="shared" si="21"/>
      </c>
      <c r="D162" s="9">
        <v>0</v>
      </c>
      <c r="E162" s="7">
        <f t="shared" si="22"/>
      </c>
      <c r="F162" s="7">
        <f t="shared" si="23"/>
      </c>
      <c r="G162" s="7">
        <f t="shared" si="24"/>
      </c>
      <c r="H162" s="7"/>
      <c r="I162" s="7"/>
    </row>
    <row r="163" spans="1:9" ht="12.75">
      <c r="A163" s="5">
        <f t="shared" si="19"/>
      </c>
      <c r="B163" s="6">
        <f t="shared" si="20"/>
      </c>
      <c r="C163" s="7">
        <f t="shared" si="21"/>
      </c>
      <c r="D163" s="9">
        <v>0</v>
      </c>
      <c r="E163" s="7">
        <f t="shared" si="22"/>
      </c>
      <c r="F163" s="7">
        <f t="shared" si="23"/>
      </c>
      <c r="G163" s="7">
        <f t="shared" si="24"/>
      </c>
      <c r="H163" s="7"/>
      <c r="I163" s="7"/>
    </row>
    <row r="164" spans="1:9" ht="12.75">
      <c r="A164" s="5">
        <f t="shared" si="19"/>
      </c>
      <c r="B164" s="6">
        <f t="shared" si="20"/>
      </c>
      <c r="C164" s="7">
        <f t="shared" si="21"/>
      </c>
      <c r="D164" s="9">
        <v>0</v>
      </c>
      <c r="E164" s="7">
        <f t="shared" si="22"/>
      </c>
      <c r="F164" s="7">
        <f t="shared" si="23"/>
      </c>
      <c r="G164" s="7">
        <f t="shared" si="24"/>
      </c>
      <c r="H164" s="7"/>
      <c r="I164" s="7"/>
    </row>
    <row r="165" spans="1:9" ht="12.75">
      <c r="A165" s="5">
        <f t="shared" si="19"/>
      </c>
      <c r="B165" s="6">
        <f t="shared" si="20"/>
      </c>
      <c r="C165" s="7">
        <f t="shared" si="21"/>
      </c>
      <c r="D165" s="9">
        <v>0</v>
      </c>
      <c r="E165" s="7">
        <f t="shared" si="22"/>
      </c>
      <c r="F165" s="7">
        <f t="shared" si="23"/>
      </c>
      <c r="G165" s="7">
        <f t="shared" si="24"/>
      </c>
      <c r="H165" s="7"/>
      <c r="I165" s="7"/>
    </row>
    <row r="166" spans="1:9" ht="12.75">
      <c r="A166" s="5">
        <f t="shared" si="19"/>
      </c>
      <c r="B166" s="6">
        <f t="shared" si="20"/>
      </c>
      <c r="C166" s="7">
        <f t="shared" si="21"/>
      </c>
      <c r="D166" s="9">
        <v>0</v>
      </c>
      <c r="E166" s="7">
        <f t="shared" si="22"/>
      </c>
      <c r="F166" s="7">
        <f t="shared" si="23"/>
      </c>
      <c r="G166" s="7">
        <f t="shared" si="24"/>
      </c>
      <c r="H166" s="7"/>
      <c r="I166" s="7"/>
    </row>
    <row r="167" spans="1:9" ht="12.75">
      <c r="A167" s="5">
        <f t="shared" si="19"/>
      </c>
      <c r="B167" s="6">
        <f t="shared" si="20"/>
      </c>
      <c r="C167" s="7">
        <f t="shared" si="21"/>
      </c>
      <c r="D167" s="9">
        <v>0</v>
      </c>
      <c r="E167" s="7">
        <f t="shared" si="22"/>
      </c>
      <c r="F167" s="7">
        <f t="shared" si="23"/>
      </c>
      <c r="G167" s="7">
        <f t="shared" si="24"/>
      </c>
      <c r="H167" s="7"/>
      <c r="I167" s="7"/>
    </row>
    <row r="168" spans="1:9" ht="12.75">
      <c r="A168" s="5">
        <f t="shared" si="19"/>
      </c>
      <c r="B168" s="6">
        <f t="shared" si="20"/>
      </c>
      <c r="C168" s="7">
        <f t="shared" si="21"/>
      </c>
      <c r="D168" s="9">
        <v>0</v>
      </c>
      <c r="E168" s="7">
        <f t="shared" si="22"/>
      </c>
      <c r="F168" s="7">
        <f t="shared" si="23"/>
      </c>
      <c r="G168" s="7">
        <f t="shared" si="24"/>
      </c>
      <c r="H168" s="7"/>
      <c r="I168" s="7"/>
    </row>
    <row r="169" spans="1:9" ht="12.75">
      <c r="A169" s="5">
        <f t="shared" si="19"/>
      </c>
      <c r="B169" s="6">
        <f t="shared" si="20"/>
      </c>
      <c r="C169" s="7">
        <f t="shared" si="21"/>
      </c>
      <c r="D169" s="9">
        <v>0</v>
      </c>
      <c r="E169" s="7">
        <f t="shared" si="22"/>
      </c>
      <c r="F169" s="7">
        <f t="shared" si="23"/>
      </c>
      <c r="G169" s="7">
        <f t="shared" si="24"/>
      </c>
      <c r="H169" s="7"/>
      <c r="I169" s="7"/>
    </row>
    <row r="170" spans="1:9" ht="12.75">
      <c r="A170" s="5">
        <f t="shared" si="19"/>
      </c>
      <c r="B170" s="6">
        <f t="shared" si="20"/>
      </c>
      <c r="C170" s="7">
        <f t="shared" si="21"/>
      </c>
      <c r="D170" s="9">
        <v>0</v>
      </c>
      <c r="E170" s="7">
        <f t="shared" si="22"/>
      </c>
      <c r="F170" s="7">
        <f t="shared" si="23"/>
      </c>
      <c r="G170" s="7">
        <f t="shared" si="24"/>
      </c>
      <c r="H170" s="7"/>
      <c r="I170" s="7"/>
    </row>
    <row r="171" spans="1:9" ht="12.75">
      <c r="A171" s="5">
        <f t="shared" si="19"/>
      </c>
      <c r="B171" s="6">
        <f t="shared" si="20"/>
      </c>
      <c r="C171" s="7">
        <f t="shared" si="21"/>
      </c>
      <c r="D171" s="9">
        <v>0</v>
      </c>
      <c r="E171" s="7">
        <f t="shared" si="22"/>
      </c>
      <c r="F171" s="7">
        <f t="shared" si="23"/>
      </c>
      <c r="G171" s="7">
        <f t="shared" si="24"/>
      </c>
      <c r="H171" s="7"/>
      <c r="I171" s="7"/>
    </row>
    <row r="172" spans="1:9" ht="12.75">
      <c r="A172" s="5">
        <f t="shared" si="19"/>
      </c>
      <c r="B172" s="6">
        <f t="shared" si="20"/>
      </c>
      <c r="C172" s="7">
        <f t="shared" si="21"/>
      </c>
      <c r="D172" s="9">
        <v>0</v>
      </c>
      <c r="E172" s="7">
        <f t="shared" si="22"/>
      </c>
      <c r="F172" s="7">
        <f t="shared" si="23"/>
      </c>
      <c r="G172" s="7">
        <f t="shared" si="24"/>
      </c>
      <c r="H172" s="7"/>
      <c r="I172" s="7"/>
    </row>
    <row r="173" spans="1:9" ht="12.75">
      <c r="A173" s="5">
        <f t="shared" si="19"/>
      </c>
      <c r="B173" s="6">
        <f t="shared" si="20"/>
      </c>
      <c r="C173" s="7">
        <f t="shared" si="21"/>
      </c>
      <c r="D173" s="9">
        <v>0</v>
      </c>
      <c r="E173" s="7">
        <f t="shared" si="22"/>
      </c>
      <c r="F173" s="7">
        <f t="shared" si="23"/>
      </c>
      <c r="G173" s="7">
        <f t="shared" si="24"/>
      </c>
      <c r="H173" s="7"/>
      <c r="I173" s="7"/>
    </row>
    <row r="174" spans="1:9" ht="12.75">
      <c r="A174" s="5">
        <f t="shared" si="19"/>
      </c>
      <c r="B174" s="6">
        <f t="shared" si="20"/>
      </c>
      <c r="C174" s="7">
        <f t="shared" si="21"/>
      </c>
      <c r="D174" s="9">
        <v>0</v>
      </c>
      <c r="E174" s="7">
        <f t="shared" si="22"/>
      </c>
      <c r="F174" s="7">
        <f t="shared" si="23"/>
      </c>
      <c r="G174" s="7">
        <f t="shared" si="24"/>
      </c>
      <c r="H174" s="7"/>
      <c r="I174" s="7"/>
    </row>
    <row r="175" spans="1:9" ht="12.75">
      <c r="A175" s="5">
        <f t="shared" si="19"/>
      </c>
      <c r="B175" s="6">
        <f t="shared" si="20"/>
      </c>
      <c r="C175" s="7">
        <f t="shared" si="21"/>
      </c>
      <c r="D175" s="9">
        <v>0</v>
      </c>
      <c r="E175" s="7">
        <f t="shared" si="22"/>
      </c>
      <c r="F175" s="7">
        <f t="shared" si="23"/>
      </c>
      <c r="G175" s="7">
        <f t="shared" si="24"/>
      </c>
      <c r="H175" s="7"/>
      <c r="I175" s="7"/>
    </row>
    <row r="176" spans="1:9" ht="12.75">
      <c r="A176" s="5">
        <f t="shared" si="19"/>
      </c>
      <c r="B176" s="6">
        <f t="shared" si="20"/>
      </c>
      <c r="C176" s="7">
        <f t="shared" si="21"/>
      </c>
      <c r="D176" s="9">
        <v>0</v>
      </c>
      <c r="E176" s="7">
        <f t="shared" si="22"/>
      </c>
      <c r="F176" s="7">
        <f t="shared" si="23"/>
      </c>
      <c r="G176" s="7">
        <f t="shared" si="24"/>
      </c>
      <c r="H176" s="7"/>
      <c r="I176" s="7"/>
    </row>
    <row r="177" spans="1:9" ht="12.75">
      <c r="A177" s="1"/>
      <c r="B177" s="1"/>
      <c r="C177" s="1"/>
      <c r="D177" s="1"/>
      <c r="E177" s="1"/>
      <c r="F177" s="18" t="s">
        <v>30</v>
      </c>
      <c r="G177" s="19">
        <f ca="1">IF(OFFSET(G177,-1,0,1,1)="","",ROUND(OFFSET(G177,-1,0,1,1),0))</f>
      </c>
      <c r="H177" s="19"/>
      <c r="I177" s="19"/>
    </row>
  </sheetData>
  <sheetProtection/>
  <conditionalFormatting sqref="B21:B176">
    <cfRule type="expression" priority="1" dxfId="1" stopIfTrue="1">
      <formula>($C21=$C$6+1)</formula>
    </cfRule>
  </conditionalFormatting>
  <dataValidations count="1">
    <dataValidation type="list" showInputMessage="1" showErrorMessage="1" sqref="D9">
      <formula1>"Annually,Semi-Annually,Quarterly,Bi-Monthly,Monthly,Semi-Monthly,Bi-Weekly"</formula1>
    </dataValidation>
  </dataValidations>
  <hyperlinks>
    <hyperlink ref="F1" r:id="rId1" display="© 2004 Vertex42, LLC"/>
    <hyperlink ref="A2" r:id="rId2" tooltip="Visit Vertex42.com - The Excel Nexus" display="Download from Vertex42.com"/>
  </hyperlinks>
  <printOptions/>
  <pageMargins left="0.75" right="0.75" top="0.75" bottom="0.75" header="0.25" footer="0.25"/>
  <pageSetup horizontalDpi="600" verticalDpi="600" orientation="portrait" r:id="rId6"/>
  <headerFooter alignWithMargins="0">
    <oddHeader>&amp;RPage &amp;P of &amp;N</oddHeader>
    <oddFooter>&amp;L&amp;8http://www.vertex42.com/Calculators/auto-loan-calculator.html&amp;R&amp;8© 2007 Vertex42 LLC</oddFooter>
  </headerFooter>
  <drawing r:id="rId5"/>
  <legacyDrawing r:id="rId4"/>
</worksheet>
</file>

<file path=xl/worksheets/sheet3.xml><?xml version="1.0" encoding="utf-8"?>
<worksheet xmlns="http://schemas.openxmlformats.org/spreadsheetml/2006/main" xmlns:r="http://schemas.openxmlformats.org/officeDocument/2006/relationships">
  <sheetPr>
    <tabColor indexed="22"/>
  </sheetPr>
  <dimension ref="A1:H56"/>
  <sheetViews>
    <sheetView showGridLines="0" zoomScalePageLayoutView="0" workbookViewId="0" topLeftCell="A1">
      <selection activeCell="A1" sqref="A1"/>
    </sheetView>
  </sheetViews>
  <sheetFormatPr defaultColWidth="9.140625" defaultRowHeight="12.75"/>
  <cols>
    <col min="1" max="1" width="13.8515625" style="0" customWidth="1"/>
    <col min="2" max="4" width="10.7109375" style="0" customWidth="1"/>
    <col min="5" max="5" width="15.140625" style="0" customWidth="1"/>
    <col min="6" max="6" width="13.28125" style="0" customWidth="1"/>
    <col min="7" max="7" width="11.7109375" style="0" customWidth="1"/>
    <col min="8" max="8" width="9.7109375" style="0" customWidth="1"/>
  </cols>
  <sheetData>
    <row r="1" spans="1:8" s="2" customFormat="1" ht="18">
      <c r="A1" s="11" t="s">
        <v>79</v>
      </c>
      <c r="B1" s="12"/>
      <c r="C1" s="12"/>
      <c r="D1" s="12"/>
      <c r="E1" s="12"/>
      <c r="F1" s="12"/>
      <c r="G1" s="13" t="s">
        <v>77</v>
      </c>
      <c r="H1" s="17" t="s">
        <v>27</v>
      </c>
    </row>
    <row r="2" spans="1:8" s="2" customFormat="1" ht="12.75">
      <c r="A2" s="70" t="s">
        <v>25</v>
      </c>
      <c r="B2" s="1"/>
      <c r="C2" s="80"/>
      <c r="D2" s="1"/>
      <c r="E2" s="1"/>
      <c r="F2" s="1"/>
      <c r="G2" s="1"/>
      <c r="H2" s="1"/>
    </row>
    <row r="3" spans="1:8" s="2" customFormat="1" ht="12.75">
      <c r="A3" s="71"/>
      <c r="B3" s="1"/>
      <c r="C3" s="80"/>
      <c r="D3" s="1"/>
      <c r="E3" s="1"/>
      <c r="F3" s="72"/>
      <c r="G3" s="72"/>
      <c r="H3" s="72"/>
    </row>
    <row r="4" spans="1:8" ht="12.75">
      <c r="A4" s="71"/>
      <c r="B4" s="1"/>
      <c r="C4" s="1"/>
      <c r="D4" s="1"/>
      <c r="E4" s="73" t="s">
        <v>28</v>
      </c>
      <c r="F4" s="76">
        <f>loan_amount</f>
        <v>20000</v>
      </c>
      <c r="G4" s="1"/>
      <c r="H4" s="1"/>
    </row>
    <row r="5" spans="1:8" ht="12.75">
      <c r="A5" s="71"/>
      <c r="B5" s="1"/>
      <c r="C5" s="1"/>
      <c r="D5" s="1"/>
      <c r="E5" s="74" t="s">
        <v>1</v>
      </c>
      <c r="F5" s="77">
        <f>PaymentCalculator!D6</f>
        <v>0.085</v>
      </c>
      <c r="G5" s="1"/>
      <c r="H5" s="1"/>
    </row>
    <row r="6" spans="1:8" ht="12.75">
      <c r="A6" s="71"/>
      <c r="B6" s="1"/>
      <c r="C6" s="1"/>
      <c r="D6" s="1"/>
      <c r="E6" s="75" t="s">
        <v>2</v>
      </c>
      <c r="F6" s="78">
        <f>term</f>
        <v>3</v>
      </c>
      <c r="G6" s="1"/>
      <c r="H6" s="1"/>
    </row>
    <row r="7" spans="1:8" ht="12.75">
      <c r="A7" s="71"/>
      <c r="B7" s="1"/>
      <c r="C7" s="1"/>
      <c r="D7" s="1"/>
      <c r="E7" s="74" t="s">
        <v>4</v>
      </c>
      <c r="F7" s="79" t="str">
        <f>PaymentCalculator!D9</f>
        <v>Monthly</v>
      </c>
      <c r="G7" s="1"/>
      <c r="H7" s="1"/>
    </row>
    <row r="8" spans="1:8" s="2" customFormat="1" ht="12.75">
      <c r="A8" s="71"/>
      <c r="B8" s="1"/>
      <c r="C8" s="80"/>
      <c r="D8" s="1"/>
      <c r="E8" s="1"/>
      <c r="F8" s="72"/>
      <c r="G8" s="72"/>
      <c r="H8" s="72"/>
    </row>
    <row r="10" spans="1:4" ht="38.25">
      <c r="A10" s="85" t="s">
        <v>1</v>
      </c>
      <c r="B10" s="86" t="s">
        <v>78</v>
      </c>
      <c r="C10" s="86" t="s">
        <v>16</v>
      </c>
      <c r="D10" s="86" t="s">
        <v>7</v>
      </c>
    </row>
    <row r="11" spans="1:4" ht="12.75">
      <c r="A11" s="87">
        <v>0.02</v>
      </c>
      <c r="B11" s="67">
        <f aca="true" t="shared" si="0" ref="B11:B19">C11*nper</f>
        <v>20622.600000000002</v>
      </c>
      <c r="C11" s="67">
        <f aca="true" t="shared" si="1" ref="C11:C19">ROUND(-PMT(A11/periods_per_year,nper,loan_amount),2)</f>
        <v>572.85</v>
      </c>
      <c r="D11" s="67">
        <f aca="true" t="shared" si="2" ref="D11:D19">B11-loan_amount</f>
        <v>622.6000000000022</v>
      </c>
    </row>
    <row r="12" spans="1:4" ht="12.75">
      <c r="A12" s="87">
        <v>0.03</v>
      </c>
      <c r="B12" s="67">
        <f t="shared" si="0"/>
        <v>20938.32</v>
      </c>
      <c r="C12" s="67">
        <f t="shared" si="1"/>
        <v>581.62</v>
      </c>
      <c r="D12" s="67">
        <f t="shared" si="2"/>
        <v>938.3199999999997</v>
      </c>
    </row>
    <row r="13" spans="1:4" ht="12.75">
      <c r="A13" s="87">
        <v>0.04</v>
      </c>
      <c r="B13" s="67">
        <f t="shared" si="0"/>
        <v>21257.28</v>
      </c>
      <c r="C13" s="67">
        <f t="shared" si="1"/>
        <v>590.48</v>
      </c>
      <c r="D13" s="67">
        <f t="shared" si="2"/>
        <v>1257.2799999999988</v>
      </c>
    </row>
    <row r="14" spans="1:4" ht="12.75">
      <c r="A14" s="87">
        <v>0.05</v>
      </c>
      <c r="B14" s="67">
        <f t="shared" si="0"/>
        <v>21579.12</v>
      </c>
      <c r="C14" s="67">
        <f t="shared" si="1"/>
        <v>599.42</v>
      </c>
      <c r="D14" s="67">
        <f t="shared" si="2"/>
        <v>1579.119999999999</v>
      </c>
    </row>
    <row r="15" spans="1:4" ht="12.75">
      <c r="A15" s="87">
        <v>0.06</v>
      </c>
      <c r="B15" s="67">
        <f t="shared" si="0"/>
        <v>21903.840000000004</v>
      </c>
      <c r="C15" s="67">
        <f t="shared" si="1"/>
        <v>608.44</v>
      </c>
      <c r="D15" s="67">
        <f t="shared" si="2"/>
        <v>1903.8400000000038</v>
      </c>
    </row>
    <row r="16" spans="1:4" ht="12.75">
      <c r="A16" s="87">
        <v>0.07</v>
      </c>
      <c r="B16" s="67">
        <f t="shared" si="0"/>
        <v>22231.44</v>
      </c>
      <c r="C16" s="67">
        <f t="shared" si="1"/>
        <v>617.54</v>
      </c>
      <c r="D16" s="67">
        <f t="shared" si="2"/>
        <v>2231.4399999999987</v>
      </c>
    </row>
    <row r="17" spans="1:4" ht="12.75">
      <c r="A17" s="87">
        <v>0.08</v>
      </c>
      <c r="B17" s="67">
        <f t="shared" si="0"/>
        <v>22562.28</v>
      </c>
      <c r="C17" s="67">
        <f t="shared" si="1"/>
        <v>626.73</v>
      </c>
      <c r="D17" s="67">
        <f t="shared" si="2"/>
        <v>2562.279999999999</v>
      </c>
    </row>
    <row r="18" spans="1:4" ht="12.75">
      <c r="A18" s="87">
        <v>0.09</v>
      </c>
      <c r="B18" s="67">
        <f t="shared" si="0"/>
        <v>22895.64</v>
      </c>
      <c r="C18" s="67">
        <f t="shared" si="1"/>
        <v>635.99</v>
      </c>
      <c r="D18" s="67">
        <f t="shared" si="2"/>
        <v>2895.6399999999994</v>
      </c>
    </row>
    <row r="19" spans="1:4" ht="12.75">
      <c r="A19" s="87">
        <v>0.1</v>
      </c>
      <c r="B19" s="67">
        <f t="shared" si="0"/>
        <v>23232.24</v>
      </c>
      <c r="C19" s="67">
        <f t="shared" si="1"/>
        <v>645.34</v>
      </c>
      <c r="D19" s="67">
        <f t="shared" si="2"/>
        <v>3232.2400000000016</v>
      </c>
    </row>
    <row r="22" spans="1:4" ht="25.5">
      <c r="A22" s="85" t="s">
        <v>80</v>
      </c>
      <c r="B22" s="86" t="s">
        <v>78</v>
      </c>
      <c r="C22" s="86" t="s">
        <v>16</v>
      </c>
      <c r="D22" s="86" t="s">
        <v>7</v>
      </c>
    </row>
    <row r="23" spans="1:4" ht="12.75">
      <c r="A23" s="81">
        <v>6</v>
      </c>
      <c r="B23" s="67">
        <f aca="true" t="shared" si="3" ref="B23:B34">C23*A23</f>
        <v>20498.760000000002</v>
      </c>
      <c r="C23" s="67">
        <f>ROUND(-PMT(PaymentCalculator!$D$6/periods_per_year,A23,loan_amount),2)</f>
        <v>3416.46</v>
      </c>
      <c r="D23" s="67">
        <f aca="true" t="shared" si="4" ref="D23:D34">B23-loan_amount</f>
        <v>498.76000000000204</v>
      </c>
    </row>
    <row r="24" spans="1:4" ht="12.75">
      <c r="A24" s="82">
        <f aca="true" t="shared" si="5" ref="A24:A34">A23+6</f>
        <v>12</v>
      </c>
      <c r="B24" s="67">
        <f t="shared" si="3"/>
        <v>20932.800000000003</v>
      </c>
      <c r="C24" s="67">
        <f>ROUND(-PMT(PaymentCalculator!$D$6/periods_per_year,A24,loan_amount),2)</f>
        <v>1744.4</v>
      </c>
      <c r="D24" s="67">
        <f t="shared" si="4"/>
        <v>932.8000000000029</v>
      </c>
    </row>
    <row r="25" spans="1:4" ht="12.75">
      <c r="A25" s="82">
        <f t="shared" si="5"/>
        <v>18</v>
      </c>
      <c r="B25" s="67">
        <f t="shared" si="3"/>
        <v>21372.659999999996</v>
      </c>
      <c r="C25" s="67">
        <f>ROUND(-PMT(PaymentCalculator!$D$6/periods_per_year,A25,loan_amount),2)</f>
        <v>1187.37</v>
      </c>
      <c r="D25" s="67">
        <f t="shared" si="4"/>
        <v>1372.6599999999962</v>
      </c>
    </row>
    <row r="26" spans="1:4" ht="12.75">
      <c r="A26" s="82">
        <f t="shared" si="5"/>
        <v>24</v>
      </c>
      <c r="B26" s="67">
        <f t="shared" si="3"/>
        <v>21818.64</v>
      </c>
      <c r="C26" s="67">
        <f>ROUND(-PMT(PaymentCalculator!$D$6/periods_per_year,A26,loan_amount),2)</f>
        <v>909.11</v>
      </c>
      <c r="D26" s="67">
        <f t="shared" si="4"/>
        <v>1818.6399999999994</v>
      </c>
    </row>
    <row r="27" spans="1:4" ht="12.75">
      <c r="A27" s="82">
        <f t="shared" si="5"/>
        <v>30</v>
      </c>
      <c r="B27" s="67">
        <f t="shared" si="3"/>
        <v>22270.8</v>
      </c>
      <c r="C27" s="67">
        <f>ROUND(-PMT(PaymentCalculator!$D$6/periods_per_year,A27,loan_amount),2)</f>
        <v>742.36</v>
      </c>
      <c r="D27" s="67">
        <f t="shared" si="4"/>
        <v>2270.7999999999993</v>
      </c>
    </row>
    <row r="28" spans="1:4" ht="12.75">
      <c r="A28" s="82">
        <f t="shared" si="5"/>
        <v>36</v>
      </c>
      <c r="B28" s="67">
        <f t="shared" si="3"/>
        <v>22728.600000000002</v>
      </c>
      <c r="C28" s="67">
        <f>ROUND(-PMT(PaymentCalculator!$D$6/periods_per_year,A28,loan_amount),2)</f>
        <v>631.35</v>
      </c>
      <c r="D28" s="67">
        <f t="shared" si="4"/>
        <v>2728.600000000002</v>
      </c>
    </row>
    <row r="29" spans="1:4" ht="12.75">
      <c r="A29" s="82">
        <f t="shared" si="5"/>
        <v>42</v>
      </c>
      <c r="B29" s="67">
        <f t="shared" si="3"/>
        <v>23192.4</v>
      </c>
      <c r="C29" s="67">
        <f>ROUND(-PMT(PaymentCalculator!$D$6/periods_per_year,A29,loan_amount),2)</f>
        <v>552.2</v>
      </c>
      <c r="D29" s="67">
        <f t="shared" si="4"/>
        <v>3192.4000000000015</v>
      </c>
    </row>
    <row r="30" spans="1:4" ht="12.75">
      <c r="A30" s="82">
        <f t="shared" si="5"/>
        <v>48</v>
      </c>
      <c r="B30" s="67">
        <f t="shared" si="3"/>
        <v>23662.56</v>
      </c>
      <c r="C30" s="67">
        <f>ROUND(-PMT(PaymentCalculator!$D$6/periods_per_year,A30,loan_amount),2)</f>
        <v>492.97</v>
      </c>
      <c r="D30" s="67">
        <f t="shared" si="4"/>
        <v>3662.5600000000013</v>
      </c>
    </row>
    <row r="31" spans="1:4" ht="12.75">
      <c r="A31" s="82">
        <f t="shared" si="5"/>
        <v>54</v>
      </c>
      <c r="B31" s="67">
        <f t="shared" si="3"/>
        <v>24138</v>
      </c>
      <c r="C31" s="67">
        <f>ROUND(-PMT(PaymentCalculator!$D$6/periods_per_year,A31,loan_amount),2)</f>
        <v>447</v>
      </c>
      <c r="D31" s="67">
        <f t="shared" si="4"/>
        <v>4138</v>
      </c>
    </row>
    <row r="32" spans="1:4" ht="12.75">
      <c r="A32" s="82">
        <f t="shared" si="5"/>
        <v>60</v>
      </c>
      <c r="B32" s="67">
        <f t="shared" si="3"/>
        <v>24619.8</v>
      </c>
      <c r="C32" s="67">
        <f>ROUND(-PMT(PaymentCalculator!$D$6/periods_per_year,A32,loan_amount),2)</f>
        <v>410.33</v>
      </c>
      <c r="D32" s="67">
        <f t="shared" si="4"/>
        <v>4619.799999999999</v>
      </c>
    </row>
    <row r="33" spans="1:4" ht="12.75">
      <c r="A33" s="82">
        <f t="shared" si="5"/>
        <v>66</v>
      </c>
      <c r="B33" s="67">
        <f t="shared" si="3"/>
        <v>25107.72</v>
      </c>
      <c r="C33" s="67">
        <f>ROUND(-PMT(PaymentCalculator!$D$6/periods_per_year,A33,loan_amount),2)</f>
        <v>380.42</v>
      </c>
      <c r="D33" s="67">
        <f t="shared" si="4"/>
        <v>5107.720000000001</v>
      </c>
    </row>
    <row r="34" spans="1:4" ht="12.75">
      <c r="A34" s="82">
        <f t="shared" si="5"/>
        <v>72</v>
      </c>
      <c r="B34" s="67">
        <f t="shared" si="3"/>
        <v>25601.04</v>
      </c>
      <c r="C34" s="67">
        <f>ROUND(-PMT(PaymentCalculator!$D$6/periods_per_year,A34,loan_amount),2)</f>
        <v>355.57</v>
      </c>
      <c r="D34" s="67">
        <f t="shared" si="4"/>
        <v>5601.040000000001</v>
      </c>
    </row>
    <row r="37" spans="1:4" ht="25.5">
      <c r="A37" s="85" t="s">
        <v>75</v>
      </c>
      <c r="B37" s="86" t="s">
        <v>74</v>
      </c>
      <c r="C37" s="86" t="s">
        <v>16</v>
      </c>
      <c r="D37" s="86" t="s">
        <v>7</v>
      </c>
    </row>
    <row r="38" spans="1:4" ht="12.75">
      <c r="A38" s="84">
        <v>0</v>
      </c>
      <c r="B38" s="67">
        <f aca="true" t="shared" si="6" ref="B38:B43">loan_amount-A38</f>
        <v>20000</v>
      </c>
      <c r="C38" s="67">
        <f>ROUND(-PMT(PaymentCalculator!$D$6/periods_per_year,nper,loan_amount-A38),2)</f>
        <v>631.35</v>
      </c>
      <c r="D38" s="67">
        <f aca="true" t="shared" si="7" ref="D38:D43">C38*nper-(loan_amount-A38)</f>
        <v>2728.600000000002</v>
      </c>
    </row>
    <row r="39" spans="1:4" ht="12.75">
      <c r="A39" s="84">
        <f>0.05*loan_amount</f>
        <v>1000</v>
      </c>
      <c r="B39" s="67">
        <f t="shared" si="6"/>
        <v>19000</v>
      </c>
      <c r="C39" s="67">
        <f>ROUND(-PMT(PaymentCalculator!$D$6/periods_per_year,nper,loan_amount-A39),2)</f>
        <v>599.78</v>
      </c>
      <c r="D39" s="67">
        <f t="shared" si="7"/>
        <v>2592.079999999998</v>
      </c>
    </row>
    <row r="40" spans="1:4" ht="12.75">
      <c r="A40" s="84">
        <f>0.1*loan_amount</f>
        <v>2000</v>
      </c>
      <c r="B40" s="67">
        <f t="shared" si="6"/>
        <v>18000</v>
      </c>
      <c r="C40" s="67">
        <f>ROUND(-PMT(PaymentCalculator!$D$6/periods_per_year,nper,loan_amount-A40),2)</f>
        <v>568.22</v>
      </c>
      <c r="D40" s="67">
        <f t="shared" si="7"/>
        <v>2455.920000000002</v>
      </c>
    </row>
    <row r="41" spans="1:4" ht="12.75">
      <c r="A41" s="84">
        <f>0.15*loan_amount</f>
        <v>3000</v>
      </c>
      <c r="B41" s="67">
        <f t="shared" si="6"/>
        <v>17000</v>
      </c>
      <c r="C41" s="67">
        <f>ROUND(-PMT(PaymentCalculator!$D$6/periods_per_year,nper,loan_amount-A41),2)</f>
        <v>536.65</v>
      </c>
      <c r="D41" s="67">
        <f t="shared" si="7"/>
        <v>2319.399999999998</v>
      </c>
    </row>
    <row r="42" spans="1:4" ht="12.75">
      <c r="A42" s="84">
        <f>0.2*loan_amount</f>
        <v>4000</v>
      </c>
      <c r="B42" s="67">
        <f t="shared" si="6"/>
        <v>16000</v>
      </c>
      <c r="C42" s="67">
        <f>ROUND(-PMT(PaymentCalculator!$D$6/periods_per_year,nper,loan_amount-A42),2)</f>
        <v>505.08</v>
      </c>
      <c r="D42" s="67">
        <f t="shared" si="7"/>
        <v>2182.880000000001</v>
      </c>
    </row>
    <row r="43" spans="1:4" ht="12.75">
      <c r="A43" s="84">
        <f>0.25*loan_amount</f>
        <v>5000</v>
      </c>
      <c r="B43" s="67">
        <f t="shared" si="6"/>
        <v>15000</v>
      </c>
      <c r="C43" s="67">
        <f>ROUND(-PMT(PaymentCalculator!$D$6/periods_per_year,nper,loan_amount-A43),2)</f>
        <v>473.51</v>
      </c>
      <c r="D43" s="67">
        <f t="shared" si="7"/>
        <v>2046.3600000000006</v>
      </c>
    </row>
    <row r="49" spans="1:4" ht="38.25">
      <c r="A49" s="85" t="s">
        <v>17</v>
      </c>
      <c r="B49" s="86" t="s">
        <v>80</v>
      </c>
      <c r="C49" s="86" t="s">
        <v>16</v>
      </c>
      <c r="D49" s="86" t="s">
        <v>7</v>
      </c>
    </row>
    <row r="50" spans="1:4" ht="12.75">
      <c r="A50" s="81" t="s">
        <v>19</v>
      </c>
      <c r="B50" s="65">
        <f>1*term</f>
        <v>3</v>
      </c>
      <c r="C50" s="66">
        <f>ROUND(-PMT(PaymentCalculator!D6/1,term*1,loan_amount),2)</f>
        <v>7830.78</v>
      </c>
      <c r="D50" s="66">
        <f aca="true" t="shared" si="8" ref="D50:D56">B50*C50-loan_amount</f>
        <v>3492.34</v>
      </c>
    </row>
    <row r="51" spans="1:4" ht="12.75">
      <c r="A51" s="82" t="s">
        <v>20</v>
      </c>
      <c r="B51" s="65">
        <f>2*term</f>
        <v>6</v>
      </c>
      <c r="C51" s="66">
        <f>ROUND(-PMT(PaymentCalculator!D6/2,term*2,loan_amount),2)</f>
        <v>3846.35</v>
      </c>
      <c r="D51" s="66">
        <f t="shared" si="8"/>
        <v>3078.0999999999985</v>
      </c>
    </row>
    <row r="52" spans="1:4" ht="12.75">
      <c r="A52" s="82" t="s">
        <v>21</v>
      </c>
      <c r="B52" s="65">
        <f>4*term</f>
        <v>12</v>
      </c>
      <c r="C52" s="66">
        <f>ROUND(-PMT(PaymentCalculator!D6/4,term*4,loan_amount),2)</f>
        <v>1905.74</v>
      </c>
      <c r="D52" s="66">
        <f t="shared" si="8"/>
        <v>2868.880000000001</v>
      </c>
    </row>
    <row r="53" spans="1:4" ht="12.75">
      <c r="A53" s="82" t="s">
        <v>22</v>
      </c>
      <c r="B53" s="65">
        <f>6*term</f>
        <v>18</v>
      </c>
      <c r="C53" s="66">
        <f>ROUND(-PMT(PaymentCalculator!D6/6,term*6,loan_amount),2)</f>
        <v>1266.6</v>
      </c>
      <c r="D53" s="66">
        <f t="shared" si="8"/>
        <v>2798.7999999999993</v>
      </c>
    </row>
    <row r="54" spans="1:4" ht="12.75">
      <c r="A54" s="83" t="s">
        <v>23</v>
      </c>
      <c r="B54" s="69">
        <f>12*term</f>
        <v>36</v>
      </c>
      <c r="C54" s="68">
        <f>ROUND(-PMT(PaymentCalculator!D6/12,term*12,loan_amount),2)</f>
        <v>631.35</v>
      </c>
      <c r="D54" s="66">
        <f t="shared" si="8"/>
        <v>2728.600000000002</v>
      </c>
    </row>
    <row r="55" spans="1:4" ht="12.75">
      <c r="A55" s="82" t="s">
        <v>24</v>
      </c>
      <c r="B55" s="65">
        <f>24*term</f>
        <v>72</v>
      </c>
      <c r="C55" s="66">
        <f>ROUND(-PMT(PaymentCalculator!D6/24,term*24,loan_amount),2)</f>
        <v>315.19</v>
      </c>
      <c r="D55" s="66">
        <f t="shared" si="8"/>
        <v>2693.6800000000003</v>
      </c>
    </row>
    <row r="56" spans="1:4" ht="12.75">
      <c r="A56" s="81" t="s">
        <v>18</v>
      </c>
      <c r="B56" s="65">
        <f>26*term</f>
        <v>78</v>
      </c>
      <c r="C56" s="66">
        <f>ROUND(-PMT(PaymentCalculator!$D$6/26,term*26,loan_amount),2)</f>
        <v>290.91</v>
      </c>
      <c r="D56" s="66">
        <f t="shared" si="8"/>
        <v>2690.980000000003</v>
      </c>
    </row>
  </sheetData>
  <sheetProtection/>
  <hyperlinks>
    <hyperlink ref="G1" r:id="rId1" display="© 2004 Vertex42, LLC"/>
    <hyperlink ref="A2" r:id="rId2" tooltip="Visit Vertex42.com - The Excel Nexus" display="Download from Vertex42.com"/>
  </hyperlinks>
  <printOptions/>
  <pageMargins left="0.75" right="0.5" top="0.75" bottom="1" header="0.5" footer="0.5"/>
  <pageSetup horizontalDpi="600" verticalDpi="600" orientation="portrait" r:id="rId6"/>
  <headerFooter alignWithMargins="0">
    <oddFooter>&amp;L&amp;8http://www.vertex42.com/Calculators/auto-loan-calculator.html</oddFooter>
  </headerFooter>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Auto Loan Calculator</dc:title>
  <dc:subject/>
  <dc:creator>Vertex42 LLC</dc:creator>
  <cp:keywords/>
  <dc:description/>
  <cp:lastModifiedBy>John A. Brinkerhoff</cp:lastModifiedBy>
  <cp:lastPrinted>2007-05-05T17:12:11Z</cp:lastPrinted>
  <dcterms:created xsi:type="dcterms:W3CDTF">2005-04-07T23:28:21Z</dcterms:created>
  <dcterms:modified xsi:type="dcterms:W3CDTF">2010-11-16T20:23:20Z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